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BORATORIO DE AGUAS MANTA\MEMORIAS\"/>
    </mc:Choice>
  </mc:AlternateContent>
  <bookViews>
    <workbookView xWindow="0" yWindow="0" windowWidth="20490" windowHeight="7155" activeTab="3"/>
  </bookViews>
  <sheets>
    <sheet name="t1" sheetId="1" r:id="rId1"/>
    <sheet name="t2" sheetId="2" r:id="rId2"/>
    <sheet name="t3" sheetId="3" r:id="rId3"/>
    <sheet name="t5" sheetId="4" r:id="rId4"/>
    <sheet name="R" sheetId="5" r:id="rId5"/>
    <sheet name="G1" sheetId="6" r:id="rId6"/>
    <sheet name="G2" sheetId="7" r:id="rId7"/>
    <sheet name="P1" sheetId="8" r:id="rId8"/>
    <sheet name="P2" sheetId="9" r:id="rId9"/>
    <sheet name="c1" sheetId="10" r:id="rId10"/>
    <sheet name="c2" sheetId="11" r:id="rId11"/>
    <sheet name="c3" sheetId="12" r:id="rId12"/>
    <sheet name="c4" sheetId="13" r:id="rId13"/>
    <sheet name="b1" sheetId="14" r:id="rId14"/>
    <sheet name="b2" sheetId="15" r:id="rId15"/>
    <sheet name="b3" sheetId="16" r:id="rId16"/>
  </sheets>
  <definedNames>
    <definedName name="_______ZZ100" localSheetId="6">#REF!</definedName>
    <definedName name="_______ZZ100" localSheetId="2">#REF!</definedName>
    <definedName name="_______ZZ100">#REF!</definedName>
    <definedName name="______ZZ100" localSheetId="6">#REF!</definedName>
    <definedName name="______ZZ100" localSheetId="2">#REF!</definedName>
    <definedName name="______ZZ100">#REF!</definedName>
    <definedName name="_____ZZ100" localSheetId="6">#REF!</definedName>
    <definedName name="_____ZZ100" localSheetId="1">#REF!</definedName>
    <definedName name="_____ZZ100" localSheetId="2">#REF!</definedName>
    <definedName name="_____ZZ100" localSheetId="3">#REF!</definedName>
    <definedName name="_____ZZ100">#REF!</definedName>
    <definedName name="____ZZ100" localSheetId="6">#REF!</definedName>
    <definedName name="____ZZ100" localSheetId="1">#REF!</definedName>
    <definedName name="____ZZ100" localSheetId="2">#REF!</definedName>
    <definedName name="____ZZ100" localSheetId="3">#REF!</definedName>
    <definedName name="____ZZ100">#REF!</definedName>
    <definedName name="___ZZ100" localSheetId="6">#REF!</definedName>
    <definedName name="___ZZ100" localSheetId="1">#REF!</definedName>
    <definedName name="___ZZ100" localSheetId="2">#REF!</definedName>
    <definedName name="___ZZ100" localSheetId="3">#REF!</definedName>
    <definedName name="___ZZ100">#REF!</definedName>
    <definedName name="__ZZ100" localSheetId="6">#REF!</definedName>
    <definedName name="__ZZ100" localSheetId="1">#REF!</definedName>
    <definedName name="__ZZ100" localSheetId="2">#REF!</definedName>
    <definedName name="__ZZ100" localSheetId="3">#REF!</definedName>
    <definedName name="__ZZ100">#REF!</definedName>
    <definedName name="_ZZ100" localSheetId="14">#REF!</definedName>
    <definedName name="_ZZ100" localSheetId="5">#REF!</definedName>
    <definedName name="_ZZ100" localSheetId="6">#REF!</definedName>
    <definedName name="_ZZ100" localSheetId="1">#REF!</definedName>
    <definedName name="_ZZ100" localSheetId="2">#REF!</definedName>
    <definedName name="_ZZ100" localSheetId="3">#REF!</definedName>
    <definedName name="_ZZ100">#REF!</definedName>
    <definedName name="A_IMPRESIÓN_IM" localSheetId="14">#REF!</definedName>
    <definedName name="A_IMPRESIÓN_IM" localSheetId="5">#REF!</definedName>
    <definedName name="A_IMPRESIÓN_IM" localSheetId="6">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>#REF!</definedName>
    <definedName name="_xlnm.Print_Area" localSheetId="13">'b1'!$B$1:$O$40</definedName>
    <definedName name="_xlnm.Print_Area" localSheetId="14">'b2'!$B$1:$O$40</definedName>
    <definedName name="_xlnm.Print_Area" localSheetId="15">'b3'!$B$1:$O$40</definedName>
    <definedName name="_xlnm.Print_Area" localSheetId="9">'c1'!$B$1:$O$40</definedName>
    <definedName name="_xlnm.Print_Area" localSheetId="10">'c2'!$B$1:$O$40</definedName>
    <definedName name="_xlnm.Print_Area" localSheetId="11">'c3'!$B$1:$O$40</definedName>
    <definedName name="_xlnm.Print_Area" localSheetId="12">'c4'!$B$1:$O$40</definedName>
    <definedName name="BNN" localSheetId="6">#REF!</definedName>
    <definedName name="BNN" localSheetId="1">#REF!</definedName>
    <definedName name="BNN" localSheetId="2">#REF!</definedName>
    <definedName name="BNN" localSheetId="3">#REF!</definedName>
    <definedName name="BNN">#REF!</definedName>
    <definedName name="BOR" localSheetId="6">#REF!</definedName>
    <definedName name="BOR" localSheetId="1">#REF!</definedName>
    <definedName name="BOR" localSheetId="2">#REF!</definedName>
    <definedName name="BOR" localSheetId="3">#REF!</definedName>
    <definedName name="BOR">#REF!</definedName>
    <definedName name="BPR" localSheetId="6">#REF!</definedName>
    <definedName name="BPR" localSheetId="1">#REF!</definedName>
    <definedName name="BPR" localSheetId="2">#REF!</definedName>
    <definedName name="BPR" localSheetId="3">#REF!</definedName>
    <definedName name="BPR">#REF!</definedName>
    <definedName name="CDER" localSheetId="6">#REF!</definedName>
    <definedName name="CDER" localSheetId="1">#REF!</definedName>
    <definedName name="CDER" localSheetId="2">#REF!</definedName>
    <definedName name="CDER" localSheetId="3">#REF!</definedName>
    <definedName name="CDER">#REF!</definedName>
    <definedName name="CLAS3" localSheetId="6">#REF!</definedName>
    <definedName name="CLAS3" localSheetId="1">#REF!</definedName>
    <definedName name="CLAS3" localSheetId="2">#REF!</definedName>
    <definedName name="CLAS3" localSheetId="3">#REF!</definedName>
    <definedName name="CLAS3">#REF!</definedName>
    <definedName name="CLASADELCA3" localSheetId="6">#REF!</definedName>
    <definedName name="CLASADELCA3" localSheetId="1">#REF!</definedName>
    <definedName name="CLASADELCA3" localSheetId="2">#REF!</definedName>
    <definedName name="CLASADELCA3" localSheetId="3">#REF!</definedName>
    <definedName name="CLASADELCA3">#REF!</definedName>
    <definedName name="CLASADELCA4" localSheetId="6">#REF!</definedName>
    <definedName name="CLASADELCA4" localSheetId="1">#REF!</definedName>
    <definedName name="CLASADELCA4" localSheetId="2">#REF!</definedName>
    <definedName name="CLASADELCA4" localSheetId="3">#REF!</definedName>
    <definedName name="CLASADELCA4">#REF!</definedName>
    <definedName name="DEL" localSheetId="6">#REF!</definedName>
    <definedName name="DEL" localSheetId="1">#REF!</definedName>
    <definedName name="DEL" localSheetId="2">#REF!</definedName>
    <definedName name="DEL" localSheetId="3">#REF!</definedName>
    <definedName name="DEL">#REF!</definedName>
    <definedName name="DELL" localSheetId="6">#REF!</definedName>
    <definedName name="DELL" localSheetId="1">#REF!</definedName>
    <definedName name="DELL" localSheetId="2">#REF!</definedName>
    <definedName name="DELL" localSheetId="3">#REF!</definedName>
    <definedName name="DELL">#REF!</definedName>
    <definedName name="FER" localSheetId="6">#REF!</definedName>
    <definedName name="FER" localSheetId="1">#REF!</definedName>
    <definedName name="FER" localSheetId="2">#REF!</definedName>
    <definedName name="FER" localSheetId="3">#REF!</definedName>
    <definedName name="FER">#REF!</definedName>
    <definedName name="GTC" localSheetId="6">#REF!</definedName>
    <definedName name="GTC" localSheetId="1">#REF!</definedName>
    <definedName name="GTC" localSheetId="2">#REF!</definedName>
    <definedName name="GTC" localSheetId="3">#REF!</definedName>
    <definedName name="GTC">#REF!</definedName>
    <definedName name="GTS" localSheetId="6">#REF!</definedName>
    <definedName name="GTS" localSheetId="1">#REF!</definedName>
    <definedName name="GTS" localSheetId="2">#REF!</definedName>
    <definedName name="GTS" localSheetId="3">#REF!</definedName>
    <definedName name="GTS">#REF!</definedName>
    <definedName name="HUM" localSheetId="6">#REF!</definedName>
    <definedName name="HUM" localSheetId="1">#REF!</definedName>
    <definedName name="HUM" localSheetId="2">#REF!</definedName>
    <definedName name="HUM" localSheetId="3">#REF!</definedName>
    <definedName name="HUM">#REF!</definedName>
    <definedName name="I" localSheetId="6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LFX" localSheetId="6">#REF!</definedName>
    <definedName name="LFX" localSheetId="1">#REF!</definedName>
    <definedName name="LFX" localSheetId="2">#REF!</definedName>
    <definedName name="LFX" localSheetId="3">#REF!</definedName>
    <definedName name="LFX">#REF!</definedName>
    <definedName name="lz" localSheetId="6">#REF!</definedName>
    <definedName name="lz" localSheetId="2">#REF!</definedName>
    <definedName name="lz">#REF!</definedName>
    <definedName name="MIRI" localSheetId="6">#REF!</definedName>
    <definedName name="MIRI" localSheetId="1">#REF!</definedName>
    <definedName name="MIRI" localSheetId="2">#REF!</definedName>
    <definedName name="MIRI" localSheetId="3">#REF!</definedName>
    <definedName name="MIRI">#REF!</definedName>
    <definedName name="NUT" localSheetId="6">#REF!</definedName>
    <definedName name="NUT" localSheetId="1">#REF!</definedName>
    <definedName name="NUT" localSheetId="2">#REF!</definedName>
    <definedName name="NUT" localSheetId="3">#REF!</definedName>
    <definedName name="NUT">#REF!</definedName>
    <definedName name="OPA" localSheetId="6">#REF!</definedName>
    <definedName name="OPA" localSheetId="1">#REF!</definedName>
    <definedName name="OPA" localSheetId="2">#REF!</definedName>
    <definedName name="OPA" localSheetId="3">#REF!</definedName>
    <definedName name="OPA">#REF!</definedName>
    <definedName name="PRSTAANA" localSheetId="6">#REF!</definedName>
    <definedName name="PRSTAANA" localSheetId="2">#REF!</definedName>
    <definedName name="PRSTAANA">#REF!</definedName>
    <definedName name="QTK" localSheetId="6">#REF!</definedName>
    <definedName name="QTK" localSheetId="1">#REF!</definedName>
    <definedName name="QTK" localSheetId="2">#REF!</definedName>
    <definedName name="QTK" localSheetId="3">#REF!</definedName>
    <definedName name="QTK">#REF!</definedName>
    <definedName name="quimfisic" localSheetId="6">#REF!</definedName>
    <definedName name="quimfisic" localSheetId="2">#REF!</definedName>
    <definedName name="quimfisic">#REF!</definedName>
    <definedName name="UNIVRS" localSheetId="6">#REF!</definedName>
    <definedName name="UNIVRS" localSheetId="1">#REF!</definedName>
    <definedName name="UNIVRS" localSheetId="2">#REF!</definedName>
    <definedName name="UNIVRS" localSheetId="3">#REF!</definedName>
    <definedName name="UNIVRS">#REF!</definedName>
    <definedName name="VRDE" localSheetId="6">#REF!</definedName>
    <definedName name="VRDE" localSheetId="1">#REF!</definedName>
    <definedName name="VRDE" localSheetId="2">#REF!</definedName>
    <definedName name="VRDE" localSheetId="3">#REF!</definedName>
    <definedName name="VRDE">#REF!</definedName>
    <definedName name="WSCO" localSheetId="6">#REF!</definedName>
    <definedName name="WSCO" localSheetId="1">#REF!</definedName>
    <definedName name="WSCO" localSheetId="2">#REF!</definedName>
    <definedName name="WSCO" localSheetId="3">#REF!</definedName>
    <definedName name="WSC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51" i="3" l="1"/>
  <c r="D48" i="3"/>
  <c r="D49" i="3"/>
  <c r="G36" i="3"/>
  <c r="G35" i="3"/>
  <c r="C35" i="5"/>
  <c r="C33" i="5"/>
  <c r="C31" i="5"/>
  <c r="C29" i="5"/>
  <c r="H36" i="3"/>
  <c r="H35" i="3"/>
  <c r="J55" i="5"/>
  <c r="J53" i="5"/>
  <c r="J52" i="5"/>
  <c r="J51" i="5"/>
  <c r="J50" i="5"/>
  <c r="H54" i="5"/>
  <c r="H37" i="5" l="1"/>
  <c r="B103" i="16" l="1"/>
  <c r="B102" i="16"/>
  <c r="B101" i="16"/>
  <c r="D21" i="16"/>
  <c r="E19" i="16"/>
  <c r="V16" i="16"/>
  <c r="X16" i="16" s="1"/>
  <c r="U16" i="16"/>
  <c r="W16" i="16" s="1"/>
  <c r="T16" i="16"/>
  <c r="C103" i="16"/>
  <c r="V15" i="16"/>
  <c r="X15" i="16" s="1"/>
  <c r="U15" i="16"/>
  <c r="W15" i="16" s="1"/>
  <c r="T15" i="16"/>
  <c r="C102" i="16"/>
  <c r="V14" i="16"/>
  <c r="X14" i="16" s="1"/>
  <c r="X17" i="16" s="1"/>
  <c r="U14" i="16"/>
  <c r="T14" i="16"/>
  <c r="C101" i="16"/>
  <c r="D12" i="16"/>
  <c r="E12" i="16" s="1"/>
  <c r="F12" i="16" s="1"/>
  <c r="N11" i="16"/>
  <c r="O12" i="16" s="1"/>
  <c r="G37" i="16" s="1"/>
  <c r="R23" i="9" s="1"/>
  <c r="E11" i="16"/>
  <c r="D10" i="16"/>
  <c r="E10" i="16" s="1"/>
  <c r="B103" i="15"/>
  <c r="B102" i="15"/>
  <c r="B101" i="15"/>
  <c r="D22" i="15"/>
  <c r="D23" i="15" s="1"/>
  <c r="D21" i="15"/>
  <c r="E19" i="15"/>
  <c r="V16" i="15"/>
  <c r="X16" i="15" s="1"/>
  <c r="T16" i="15"/>
  <c r="C103" i="15"/>
  <c r="V15" i="15"/>
  <c r="X15" i="15" s="1"/>
  <c r="U15" i="15"/>
  <c r="T15" i="15"/>
  <c r="C102" i="15"/>
  <c r="E15" i="15"/>
  <c r="F15" i="15" s="1"/>
  <c r="V14" i="15"/>
  <c r="X14" i="15" s="1"/>
  <c r="X17" i="15" s="1"/>
  <c r="U14" i="15"/>
  <c r="W14" i="15" s="1"/>
  <c r="T14" i="15"/>
  <c r="C101" i="15"/>
  <c r="E13" i="15"/>
  <c r="F13" i="15" s="1"/>
  <c r="E12" i="15"/>
  <c r="F12" i="15" s="1"/>
  <c r="D12" i="15"/>
  <c r="D13" i="15" s="1"/>
  <c r="D14" i="15" s="1"/>
  <c r="D15" i="15" s="1"/>
  <c r="D16" i="15" s="1"/>
  <c r="D17" i="15" s="1"/>
  <c r="N11" i="15"/>
  <c r="O12" i="15" s="1"/>
  <c r="F30" i="15" s="1"/>
  <c r="F11" i="15"/>
  <c r="E11" i="15"/>
  <c r="E10" i="15"/>
  <c r="D10" i="15"/>
  <c r="C103" i="14"/>
  <c r="B103" i="14"/>
  <c r="C102" i="14"/>
  <c r="B102" i="14"/>
  <c r="C101" i="14"/>
  <c r="B101" i="14"/>
  <c r="D21" i="14"/>
  <c r="E19" i="14"/>
  <c r="V16" i="14"/>
  <c r="X16" i="14" s="1"/>
  <c r="T16" i="14"/>
  <c r="V15" i="14"/>
  <c r="X15" i="14" s="1"/>
  <c r="U15" i="14"/>
  <c r="T15" i="14"/>
  <c r="V14" i="14"/>
  <c r="V17" i="14" s="1"/>
  <c r="V18" i="14" s="1"/>
  <c r="U14" i="14"/>
  <c r="T14" i="14"/>
  <c r="U16" i="14"/>
  <c r="U17" i="14" s="1"/>
  <c r="D12" i="14"/>
  <c r="E12" i="14" s="1"/>
  <c r="F12" i="14" s="1"/>
  <c r="N11" i="14"/>
  <c r="O12" i="14" s="1"/>
  <c r="F30" i="14" s="1"/>
  <c r="E11" i="14"/>
  <c r="E10" i="14"/>
  <c r="D10" i="14"/>
  <c r="C103" i="13"/>
  <c r="B103" i="13"/>
  <c r="C102" i="13"/>
  <c r="B102" i="13"/>
  <c r="B101" i="13"/>
  <c r="D22" i="13"/>
  <c r="D21" i="13"/>
  <c r="E19" i="13"/>
  <c r="V16" i="13"/>
  <c r="X16" i="13" s="1"/>
  <c r="T16" i="13"/>
  <c r="V15" i="13"/>
  <c r="X15" i="13" s="1"/>
  <c r="U15" i="13"/>
  <c r="T15" i="13"/>
  <c r="V14" i="13"/>
  <c r="V17" i="13" s="1"/>
  <c r="V18" i="13" s="1"/>
  <c r="U14" i="13"/>
  <c r="T14" i="13"/>
  <c r="U16" i="13"/>
  <c r="D12" i="13"/>
  <c r="E12" i="13" s="1"/>
  <c r="F12" i="13" s="1"/>
  <c r="AA11" i="13"/>
  <c r="AA13" i="13" s="1"/>
  <c r="N11" i="13"/>
  <c r="O12" i="13" s="1"/>
  <c r="E11" i="13"/>
  <c r="E10" i="13"/>
  <c r="D10" i="13"/>
  <c r="C103" i="12"/>
  <c r="B103" i="12"/>
  <c r="B102" i="12"/>
  <c r="C101" i="12"/>
  <c r="B101" i="12"/>
  <c r="D21" i="12"/>
  <c r="E19" i="12"/>
  <c r="X16" i="12"/>
  <c r="V16" i="12"/>
  <c r="T16" i="12"/>
  <c r="V15" i="12"/>
  <c r="X15" i="12" s="1"/>
  <c r="U15" i="12"/>
  <c r="T15" i="12"/>
  <c r="C102" i="12"/>
  <c r="X14" i="12"/>
  <c r="V14" i="12"/>
  <c r="V17" i="12" s="1"/>
  <c r="V18" i="12" s="1"/>
  <c r="U14" i="12"/>
  <c r="W14" i="12" s="1"/>
  <c r="T14" i="12"/>
  <c r="U16" i="12"/>
  <c r="D12" i="12"/>
  <c r="E12" i="12" s="1"/>
  <c r="F12" i="12" s="1"/>
  <c r="N11" i="12"/>
  <c r="O12" i="12" s="1"/>
  <c r="E11" i="12"/>
  <c r="D10" i="12"/>
  <c r="E10" i="12" s="1"/>
  <c r="B103" i="11"/>
  <c r="B102" i="11"/>
  <c r="B101" i="11"/>
  <c r="D21" i="11"/>
  <c r="E19" i="11"/>
  <c r="V16" i="11"/>
  <c r="X16" i="11" s="1"/>
  <c r="T16" i="11"/>
  <c r="C103" i="11"/>
  <c r="V15" i="11"/>
  <c r="X15" i="11" s="1"/>
  <c r="U15" i="11"/>
  <c r="T15" i="11"/>
  <c r="C102" i="11"/>
  <c r="X14" i="11"/>
  <c r="X17" i="11" s="1"/>
  <c r="V14" i="11"/>
  <c r="V17" i="11" s="1"/>
  <c r="V18" i="11" s="1"/>
  <c r="U14" i="11"/>
  <c r="W14" i="11" s="1"/>
  <c r="T14" i="11"/>
  <c r="C101" i="11"/>
  <c r="D12" i="11"/>
  <c r="E12" i="11" s="1"/>
  <c r="F12" i="11" s="1"/>
  <c r="N11" i="11"/>
  <c r="O12" i="11" s="1"/>
  <c r="E11" i="11"/>
  <c r="E10" i="11"/>
  <c r="D10" i="11"/>
  <c r="B103" i="10"/>
  <c r="B102" i="10"/>
  <c r="B101" i="10"/>
  <c r="N22" i="10"/>
  <c r="N21" i="10"/>
  <c r="D21" i="10"/>
  <c r="N20" i="10"/>
  <c r="E19" i="10"/>
  <c r="V16" i="10"/>
  <c r="X16" i="10" s="1"/>
  <c r="T16" i="10"/>
  <c r="N16" i="10"/>
  <c r="U14" i="10" s="1"/>
  <c r="X15" i="10"/>
  <c r="V15" i="10"/>
  <c r="T15" i="10"/>
  <c r="N15" i="10"/>
  <c r="C102" i="10" s="1"/>
  <c r="X14" i="10"/>
  <c r="V14" i="10"/>
  <c r="V17" i="10" s="1"/>
  <c r="V18" i="10" s="1"/>
  <c r="T14" i="10"/>
  <c r="N14" i="10"/>
  <c r="U16" i="10" s="1"/>
  <c r="D12" i="10"/>
  <c r="E12" i="10" s="1"/>
  <c r="F12" i="10" s="1"/>
  <c r="N11" i="10"/>
  <c r="O12" i="10" s="1"/>
  <c r="E11" i="10"/>
  <c r="F11" i="10" s="1"/>
  <c r="D10" i="10"/>
  <c r="E10" i="10" s="1"/>
  <c r="I30" i="9"/>
  <c r="F36" i="3" s="1"/>
  <c r="I30" i="8"/>
  <c r="F35" i="3" s="1"/>
  <c r="H35" i="5"/>
  <c r="H53" i="5" s="1"/>
  <c r="D35" i="5"/>
  <c r="H33" i="5"/>
  <c r="H52" i="5" s="1"/>
  <c r="D33" i="5"/>
  <c r="B52" i="5" s="1"/>
  <c r="H31" i="5"/>
  <c r="H51" i="5" s="1"/>
  <c r="D31" i="5"/>
  <c r="B51" i="5" s="1"/>
  <c r="H29" i="5"/>
  <c r="H50" i="5" s="1"/>
  <c r="D29" i="5"/>
  <c r="B50" i="5" s="1"/>
  <c r="D54" i="3"/>
  <c r="G53" i="3"/>
  <c r="D50" i="3"/>
  <c r="F51" i="3" s="1"/>
  <c r="G56" i="3" s="1"/>
  <c r="G28" i="1"/>
  <c r="I28" i="1" s="1"/>
  <c r="I35" i="5" l="1"/>
  <c r="B53" i="5"/>
  <c r="B54" i="5"/>
  <c r="I33" i="5"/>
  <c r="I31" i="5"/>
  <c r="I29" i="5"/>
  <c r="I37" i="5" s="1"/>
  <c r="V17" i="15"/>
  <c r="V18" i="15" s="1"/>
  <c r="W15" i="15"/>
  <c r="W15" i="11"/>
  <c r="W16" i="13"/>
  <c r="X14" i="13"/>
  <c r="W15" i="12"/>
  <c r="W14" i="13"/>
  <c r="O23" i="10"/>
  <c r="C103" i="10"/>
  <c r="C101" i="10"/>
  <c r="W14" i="10"/>
  <c r="W16" i="10"/>
  <c r="X17" i="10"/>
  <c r="G37" i="14"/>
  <c r="R17" i="9" s="1"/>
  <c r="G37" i="10"/>
  <c r="R17" i="8" s="1"/>
  <c r="F30" i="10"/>
  <c r="G37" i="11"/>
  <c r="R20" i="8" s="1"/>
  <c r="C51" i="5" s="1"/>
  <c r="D51" i="5" s="1"/>
  <c r="E51" i="5" s="1"/>
  <c r="F51" i="5" s="1"/>
  <c r="G51" i="5" s="1"/>
  <c r="F30" i="11"/>
  <c r="AA16" i="13"/>
  <c r="AA14" i="13"/>
  <c r="AA15" i="13"/>
  <c r="U15" i="10"/>
  <c r="U17" i="10" s="1"/>
  <c r="U16" i="11"/>
  <c r="G37" i="12"/>
  <c r="R23" i="8" s="1"/>
  <c r="C52" i="5" s="1"/>
  <c r="D52" i="5" s="1"/>
  <c r="E52" i="5" s="1"/>
  <c r="F52" i="5" s="1"/>
  <c r="G52" i="5" s="1"/>
  <c r="F30" i="12"/>
  <c r="D13" i="10"/>
  <c r="D22" i="10"/>
  <c r="D13" i="11"/>
  <c r="D22" i="11"/>
  <c r="W16" i="12"/>
  <c r="W17" i="12" s="1"/>
  <c r="Z13" i="12" s="1"/>
  <c r="AA11" i="12"/>
  <c r="AA13" i="12" s="1"/>
  <c r="X17" i="12"/>
  <c r="U18" i="14"/>
  <c r="F30" i="13"/>
  <c r="G37" i="13"/>
  <c r="R26" i="8" s="1"/>
  <c r="C53" i="5" s="1"/>
  <c r="D53" i="5" s="1"/>
  <c r="E53" i="5" s="1"/>
  <c r="F53" i="5" s="1"/>
  <c r="G53" i="5" s="1"/>
  <c r="D18" i="15"/>
  <c r="E18" i="15" s="1"/>
  <c r="F18" i="15" s="1"/>
  <c r="E17" i="15"/>
  <c r="F17" i="15" s="1"/>
  <c r="X17" i="13"/>
  <c r="U16" i="15"/>
  <c r="W15" i="13"/>
  <c r="W17" i="13" s="1"/>
  <c r="D23" i="13"/>
  <c r="W14" i="14"/>
  <c r="W15" i="14"/>
  <c r="E16" i="15"/>
  <c r="F16" i="15" s="1"/>
  <c r="W14" i="16"/>
  <c r="W17" i="16" s="1"/>
  <c r="U17" i="16"/>
  <c r="AA11" i="16"/>
  <c r="AA13" i="16" s="1"/>
  <c r="D13" i="12"/>
  <c r="U17" i="12"/>
  <c r="D22" i="12"/>
  <c r="D13" i="13"/>
  <c r="U17" i="13"/>
  <c r="D13" i="14"/>
  <c r="F31" i="15"/>
  <c r="F32" i="15" s="1"/>
  <c r="G37" i="15"/>
  <c r="R20" i="9" s="1"/>
  <c r="R30" i="9" s="1"/>
  <c r="C101" i="13"/>
  <c r="W16" i="14"/>
  <c r="AA11" i="14"/>
  <c r="AA13" i="14" s="1"/>
  <c r="X14" i="14"/>
  <c r="X17" i="14" s="1"/>
  <c r="D22" i="14"/>
  <c r="C25" i="14"/>
  <c r="C25" i="15"/>
  <c r="E14" i="15"/>
  <c r="F14" i="15" s="1"/>
  <c r="F30" i="16"/>
  <c r="D13" i="16"/>
  <c r="D22" i="16"/>
  <c r="V17" i="16"/>
  <c r="V18" i="16" s="1"/>
  <c r="C24" i="15" l="1"/>
  <c r="D24" i="15" s="1"/>
  <c r="E21" i="15" s="1"/>
  <c r="F21" i="15" s="1"/>
  <c r="Z13" i="13"/>
  <c r="U18" i="13"/>
  <c r="Z14" i="13"/>
  <c r="Z15" i="13" s="1"/>
  <c r="E13" i="12"/>
  <c r="F13" i="12" s="1"/>
  <c r="D14" i="12"/>
  <c r="U18" i="16"/>
  <c r="D23" i="10"/>
  <c r="C25" i="11"/>
  <c r="C25" i="16"/>
  <c r="E23" i="15"/>
  <c r="F23" i="15" s="1"/>
  <c r="Z13" i="16"/>
  <c r="W17" i="14"/>
  <c r="Z13" i="14" s="1"/>
  <c r="W16" i="15"/>
  <c r="W17" i="15" s="1"/>
  <c r="AA11" i="15"/>
  <c r="AA13" i="15" s="1"/>
  <c r="F32" i="13"/>
  <c r="C24" i="13" s="1"/>
  <c r="D24" i="13" s="1"/>
  <c r="E23" i="13" s="1"/>
  <c r="C25" i="13"/>
  <c r="D23" i="11"/>
  <c r="U18" i="10"/>
  <c r="W16" i="11"/>
  <c r="W17" i="11" s="1"/>
  <c r="AA11" i="11"/>
  <c r="AA13" i="11" s="1"/>
  <c r="D14" i="16"/>
  <c r="E13" i="16"/>
  <c r="F13" i="16" s="1"/>
  <c r="D23" i="14"/>
  <c r="E13" i="13"/>
  <c r="F13" i="13" s="1"/>
  <c r="D14" i="13"/>
  <c r="D23" i="16"/>
  <c r="U17" i="15"/>
  <c r="D23" i="12"/>
  <c r="F31" i="13"/>
  <c r="U17" i="11"/>
  <c r="E13" i="10"/>
  <c r="F13" i="10" s="1"/>
  <c r="D14" i="10"/>
  <c r="W15" i="10"/>
  <c r="W17" i="10" s="1"/>
  <c r="Z13" i="10" s="1"/>
  <c r="AA11" i="10"/>
  <c r="AA13" i="10" s="1"/>
  <c r="C25" i="10"/>
  <c r="E21" i="10" s="1"/>
  <c r="AA16" i="14"/>
  <c r="AA15" i="14"/>
  <c r="AA14" i="14"/>
  <c r="E13" i="14"/>
  <c r="F13" i="14" s="1"/>
  <c r="D14" i="14"/>
  <c r="U18" i="12"/>
  <c r="Z14" i="12"/>
  <c r="Z15" i="12" s="1"/>
  <c r="AA15" i="16"/>
  <c r="AA14" i="16"/>
  <c r="AA16" i="16"/>
  <c r="C33" i="15"/>
  <c r="U20" i="9"/>
  <c r="AA15" i="12"/>
  <c r="AA14" i="12"/>
  <c r="AA16" i="12"/>
  <c r="E13" i="11"/>
  <c r="F13" i="11" s="1"/>
  <c r="D14" i="11"/>
  <c r="C25" i="12"/>
  <c r="R30" i="8"/>
  <c r="C50" i="5"/>
  <c r="D50" i="5" s="1"/>
  <c r="E50" i="5" s="1"/>
  <c r="F50" i="5" s="1"/>
  <c r="G50" i="5" s="1"/>
  <c r="E22" i="15" l="1"/>
  <c r="F22" i="15" s="1"/>
  <c r="AB16" i="12"/>
  <c r="D15" i="10"/>
  <c r="E14" i="10"/>
  <c r="F14" i="10" s="1"/>
  <c r="E21" i="13"/>
  <c r="E22" i="13"/>
  <c r="G39" i="13"/>
  <c r="G38" i="13"/>
  <c r="Y22" i="13"/>
  <c r="Y27" i="13" s="1"/>
  <c r="Y28" i="13" s="1"/>
  <c r="AB13" i="13"/>
  <c r="G39" i="12"/>
  <c r="G38" i="12"/>
  <c r="Y22" i="12"/>
  <c r="Y27" i="12" s="1"/>
  <c r="Y28" i="12" s="1"/>
  <c r="F31" i="12"/>
  <c r="F32" i="12" s="1"/>
  <c r="C24" i="12" s="1"/>
  <c r="D24" i="12" s="1"/>
  <c r="F31" i="16"/>
  <c r="F32" i="16" s="1"/>
  <c r="C24" i="16" s="1"/>
  <c r="D24" i="16" s="1"/>
  <c r="E23" i="16" s="1"/>
  <c r="F31" i="14"/>
  <c r="F32" i="14" s="1"/>
  <c r="C24" i="14" s="1"/>
  <c r="D24" i="14" s="1"/>
  <c r="AA15" i="11"/>
  <c r="AA14" i="11"/>
  <c r="AA16" i="11"/>
  <c r="F31" i="11"/>
  <c r="F32" i="11" s="1"/>
  <c r="C24" i="11" s="1"/>
  <c r="D24" i="11" s="1"/>
  <c r="E23" i="11" s="1"/>
  <c r="AA15" i="15"/>
  <c r="AA14" i="15"/>
  <c r="AA16" i="15"/>
  <c r="AB14" i="13"/>
  <c r="AB13" i="12"/>
  <c r="D15" i="16"/>
  <c r="E14" i="16"/>
  <c r="F14" i="16" s="1"/>
  <c r="AA15" i="10"/>
  <c r="AA14" i="10"/>
  <c r="AA16" i="10"/>
  <c r="U18" i="11"/>
  <c r="Z13" i="11"/>
  <c r="Z14" i="11" s="1"/>
  <c r="Z15" i="11" s="1"/>
  <c r="Z13" i="15"/>
  <c r="Z14" i="15" s="1"/>
  <c r="Z15" i="15" s="1"/>
  <c r="E23" i="10"/>
  <c r="F31" i="10"/>
  <c r="F32" i="10" s="1"/>
  <c r="C24" i="10" s="1"/>
  <c r="D24" i="10" s="1"/>
  <c r="E14" i="12"/>
  <c r="F14" i="12" s="1"/>
  <c r="D15" i="12"/>
  <c r="AB15" i="13"/>
  <c r="AB14" i="12"/>
  <c r="AB13" i="16"/>
  <c r="Z14" i="16"/>
  <c r="Z15" i="16" s="1"/>
  <c r="E14" i="11"/>
  <c r="F14" i="11" s="1"/>
  <c r="D15" i="11"/>
  <c r="E14" i="14"/>
  <c r="F14" i="14" s="1"/>
  <c r="D15" i="14"/>
  <c r="U18" i="15"/>
  <c r="E14" i="13"/>
  <c r="F14" i="13" s="1"/>
  <c r="D15" i="13"/>
  <c r="Z14" i="10"/>
  <c r="Z15" i="10" s="1"/>
  <c r="O18" i="10" s="1"/>
  <c r="Z14" i="14"/>
  <c r="Z15" i="14" s="1"/>
  <c r="C35" i="15"/>
  <c r="X22" i="15"/>
  <c r="X27" i="15" s="1"/>
  <c r="X28" i="15" s="1"/>
  <c r="W22" i="15"/>
  <c r="W27" i="15" s="1"/>
  <c r="W28" i="15" s="1"/>
  <c r="V20" i="9"/>
  <c r="E22" i="10"/>
  <c r="AB16" i="13"/>
  <c r="AB15" i="12"/>
  <c r="AB14" i="16" l="1"/>
  <c r="AB16" i="16"/>
  <c r="AB13" i="10"/>
  <c r="Y22" i="15"/>
  <c r="Y27" i="15" s="1"/>
  <c r="Y28" i="15" s="1"/>
  <c r="X32" i="15" s="1"/>
  <c r="G39" i="15"/>
  <c r="G38" i="15"/>
  <c r="AB16" i="14"/>
  <c r="G39" i="10"/>
  <c r="Y22" i="10"/>
  <c r="Y27" i="10" s="1"/>
  <c r="Y28" i="10" s="1"/>
  <c r="G38" i="10"/>
  <c r="AB14" i="10"/>
  <c r="E15" i="11"/>
  <c r="F15" i="11" s="1"/>
  <c r="D16" i="11"/>
  <c r="AB15" i="11"/>
  <c r="AB14" i="11"/>
  <c r="AB13" i="11"/>
  <c r="AB16" i="11"/>
  <c r="E21" i="14"/>
  <c r="E22" i="14"/>
  <c r="E21" i="12"/>
  <c r="E22" i="12"/>
  <c r="Z47" i="12"/>
  <c r="Y47" i="12" s="1"/>
  <c r="AB47" i="12"/>
  <c r="AB46" i="12" s="1"/>
  <c r="AA35" i="12"/>
  <c r="Z22" i="12"/>
  <c r="Z27" i="12" s="1"/>
  <c r="Z28" i="12" s="1"/>
  <c r="Y48" i="12"/>
  <c r="AA47" i="12"/>
  <c r="T23" i="8"/>
  <c r="W32" i="15"/>
  <c r="AB16" i="15"/>
  <c r="AB14" i="15"/>
  <c r="AB13" i="15"/>
  <c r="AB15" i="15"/>
  <c r="AB13" i="14"/>
  <c r="AB15" i="10"/>
  <c r="E15" i="12"/>
  <c r="F15" i="12" s="1"/>
  <c r="D16" i="12"/>
  <c r="D16" i="16"/>
  <c r="E15" i="16"/>
  <c r="F15" i="16" s="1"/>
  <c r="E23" i="14"/>
  <c r="E23" i="12"/>
  <c r="X34" i="13"/>
  <c r="S26" i="8"/>
  <c r="G39" i="14"/>
  <c r="G38" i="14"/>
  <c r="Y22" i="14"/>
  <c r="Y27" i="14" s="1"/>
  <c r="Y28" i="14" s="1"/>
  <c r="AB15" i="14"/>
  <c r="G39" i="11"/>
  <c r="G38" i="11"/>
  <c r="Y22" i="11"/>
  <c r="Y27" i="11" s="1"/>
  <c r="Y28" i="11" s="1"/>
  <c r="E21" i="11"/>
  <c r="E22" i="11"/>
  <c r="X34" i="12"/>
  <c r="X35" i="12" s="1"/>
  <c r="S23" i="8"/>
  <c r="AB14" i="14"/>
  <c r="D16" i="13"/>
  <c r="E15" i="13"/>
  <c r="F15" i="13" s="1"/>
  <c r="AB16" i="10"/>
  <c r="E15" i="14"/>
  <c r="F15" i="14" s="1"/>
  <c r="D16" i="14"/>
  <c r="Y22" i="16"/>
  <c r="Y27" i="16" s="1"/>
  <c r="Y28" i="16" s="1"/>
  <c r="G39" i="16"/>
  <c r="G38" i="16"/>
  <c r="AB15" i="16"/>
  <c r="E21" i="16"/>
  <c r="E22" i="16"/>
  <c r="C34" i="15"/>
  <c r="Z47" i="13"/>
  <c r="AB47" i="13"/>
  <c r="AB46" i="13" s="1"/>
  <c r="AA35" i="13"/>
  <c r="Z22" i="13"/>
  <c r="Z27" i="13" s="1"/>
  <c r="Z28" i="13" s="1"/>
  <c r="X35" i="13"/>
  <c r="AA47" i="13"/>
  <c r="Y48" i="13"/>
  <c r="Z35" i="13"/>
  <c r="Y35" i="13" s="1"/>
  <c r="T26" i="8"/>
  <c r="D16" i="10"/>
  <c r="E15" i="10"/>
  <c r="F15" i="10" s="1"/>
  <c r="Z35" i="12" l="1"/>
  <c r="Y35" i="12" s="1"/>
  <c r="W35" i="12" s="1"/>
  <c r="AA46" i="13"/>
  <c r="AA46" i="12"/>
  <c r="W35" i="13"/>
  <c r="Y47" i="13"/>
  <c r="D17" i="16"/>
  <c r="E16" i="16"/>
  <c r="F16" i="16" s="1"/>
  <c r="D17" i="14"/>
  <c r="E16" i="14"/>
  <c r="F16" i="14" s="1"/>
  <c r="D17" i="13"/>
  <c r="E16" i="13"/>
  <c r="F16" i="13" s="1"/>
  <c r="Z47" i="10"/>
  <c r="Y47" i="10" s="1"/>
  <c r="T17" i="8"/>
  <c r="Y48" i="10"/>
  <c r="AB47" i="10"/>
  <c r="AB46" i="10" s="1"/>
  <c r="AA35" i="10"/>
  <c r="Z22" i="10"/>
  <c r="Z27" i="10" s="1"/>
  <c r="Z28" i="10" s="1"/>
  <c r="AA47" i="10"/>
  <c r="X34" i="15"/>
  <c r="S20" i="9"/>
  <c r="W48" i="14"/>
  <c r="Z47" i="14"/>
  <c r="V49" i="14"/>
  <c r="AB47" i="14"/>
  <c r="AA35" i="14"/>
  <c r="Z22" i="14"/>
  <c r="Z27" i="14" s="1"/>
  <c r="Z28" i="14" s="1"/>
  <c r="Y48" i="14"/>
  <c r="AB46" i="14"/>
  <c r="AA47" i="14"/>
  <c r="T17" i="9"/>
  <c r="D17" i="10"/>
  <c r="E16" i="10"/>
  <c r="F16" i="10" s="1"/>
  <c r="Y42" i="15"/>
  <c r="X40" i="15"/>
  <c r="Y40" i="15"/>
  <c r="W40" i="15" s="1"/>
  <c r="X42" i="15"/>
  <c r="W42" i="15" s="1"/>
  <c r="W37" i="15"/>
  <c r="X34" i="16"/>
  <c r="S23" i="9"/>
  <c r="Y48" i="15"/>
  <c r="AA47" i="15"/>
  <c r="Z35" i="15"/>
  <c r="Z47" i="15"/>
  <c r="Y47" i="15" s="1"/>
  <c r="AA35" i="15"/>
  <c r="Z22" i="15"/>
  <c r="Z27" i="15" s="1"/>
  <c r="Z28" i="15" s="1"/>
  <c r="Y32" i="15" s="1"/>
  <c r="Z32" i="15" s="1"/>
  <c r="G40" i="15" s="1"/>
  <c r="Y83" i="15" s="1"/>
  <c r="AB47" i="15"/>
  <c r="AB46" i="15"/>
  <c r="AA46" i="15" s="1"/>
  <c r="Y46" i="15" s="1"/>
  <c r="X35" i="15"/>
  <c r="T20" i="9"/>
  <c r="Z47" i="11"/>
  <c r="AB46" i="11"/>
  <c r="AB47" i="11"/>
  <c r="Y48" i="11"/>
  <c r="Y47" i="11" s="1"/>
  <c r="AA35" i="11"/>
  <c r="Z22" i="11"/>
  <c r="Z27" i="11" s="1"/>
  <c r="Z28" i="11" s="1"/>
  <c r="T20" i="8"/>
  <c r="AA47" i="11"/>
  <c r="AA46" i="11" s="1"/>
  <c r="D17" i="11"/>
  <c r="E16" i="11"/>
  <c r="F16" i="11" s="1"/>
  <c r="Y48" i="16"/>
  <c r="AA47" i="16"/>
  <c r="Z35" i="16"/>
  <c r="Z47" i="16"/>
  <c r="Y47" i="16" s="1"/>
  <c r="X35" i="16"/>
  <c r="AA35" i="16"/>
  <c r="Z22" i="16"/>
  <c r="Z27" i="16" s="1"/>
  <c r="Z28" i="16" s="1"/>
  <c r="AB47" i="16"/>
  <c r="AB46" i="16" s="1"/>
  <c r="T23" i="9"/>
  <c r="S20" i="8"/>
  <c r="X34" i="11"/>
  <c r="Z35" i="11" s="1"/>
  <c r="Y35" i="11" s="1"/>
  <c r="AA46" i="14"/>
  <c r="Y47" i="14"/>
  <c r="X34" i="14"/>
  <c r="X35" i="14" s="1"/>
  <c r="S17" i="9"/>
  <c r="D17" i="12"/>
  <c r="E16" i="12"/>
  <c r="F16" i="12" s="1"/>
  <c r="X34" i="10"/>
  <c r="S17" i="8"/>
  <c r="S30" i="8" s="1"/>
  <c r="C35" i="3" s="1"/>
  <c r="Y35" i="15" l="1"/>
  <c r="W35" i="15" s="1"/>
  <c r="AA46" i="16"/>
  <c r="Y35" i="16"/>
  <c r="W35" i="16" s="1"/>
  <c r="V40" i="15"/>
  <c r="V37" i="15" s="1"/>
  <c r="AA46" i="10"/>
  <c r="S30" i="9"/>
  <c r="C36" i="3" s="1"/>
  <c r="X46" i="15"/>
  <c r="X47" i="15"/>
  <c r="E17" i="11"/>
  <c r="F17" i="11" s="1"/>
  <c r="D18" i="11"/>
  <c r="E18" i="11" s="1"/>
  <c r="F18" i="11" s="1"/>
  <c r="T30" i="9"/>
  <c r="E17" i="13"/>
  <c r="F17" i="13" s="1"/>
  <c r="D18" i="13"/>
  <c r="E18" i="13" s="1"/>
  <c r="F18" i="13" s="1"/>
  <c r="E17" i="16"/>
  <c r="F17" i="16" s="1"/>
  <c r="D18" i="16"/>
  <c r="E18" i="16" s="1"/>
  <c r="F18" i="16" s="1"/>
  <c r="D18" i="10"/>
  <c r="E18" i="10" s="1"/>
  <c r="F18" i="10" s="1"/>
  <c r="E17" i="10"/>
  <c r="F17" i="10" s="1"/>
  <c r="Z35" i="14"/>
  <c r="Y35" i="14" s="1"/>
  <c r="W35" i="14" s="1"/>
  <c r="Z35" i="10"/>
  <c r="Y35" i="10" s="1"/>
  <c r="W35" i="10" s="1"/>
  <c r="D18" i="12"/>
  <c r="E18" i="12" s="1"/>
  <c r="F18" i="12" s="1"/>
  <c r="E17" i="12"/>
  <c r="F17" i="12" s="1"/>
  <c r="X35" i="11"/>
  <c r="W35" i="11" s="1"/>
  <c r="X35" i="10"/>
  <c r="T30" i="8"/>
  <c r="D35" i="3" s="1"/>
  <c r="D18" i="14"/>
  <c r="E18" i="14" s="1"/>
  <c r="F18" i="14" s="1"/>
  <c r="E17" i="14"/>
  <c r="F17" i="14" s="1"/>
  <c r="V35" i="15" l="1"/>
  <c r="D39" i="15" s="1"/>
  <c r="H20" i="9" s="1"/>
  <c r="C33" i="14"/>
  <c r="U17" i="9"/>
  <c r="F21" i="14"/>
  <c r="F22" i="14"/>
  <c r="F23" i="14"/>
  <c r="C33" i="12"/>
  <c r="U23" i="8"/>
  <c r="F23" i="12"/>
  <c r="F22" i="12"/>
  <c r="F21" i="12"/>
  <c r="C33" i="10"/>
  <c r="U17" i="8"/>
  <c r="F21" i="10"/>
  <c r="F23" i="10"/>
  <c r="F22" i="10"/>
  <c r="C33" i="16"/>
  <c r="U23" i="9"/>
  <c r="F23" i="16"/>
  <c r="F21" i="16"/>
  <c r="F22" i="16"/>
  <c r="W46" i="15"/>
  <c r="W48" i="15"/>
  <c r="W47" i="15" s="1"/>
  <c r="C33" i="13"/>
  <c r="U26" i="8"/>
  <c r="F23" i="13"/>
  <c r="F22" i="13"/>
  <c r="F21" i="13"/>
  <c r="C33" i="11"/>
  <c r="U20" i="8"/>
  <c r="F23" i="11"/>
  <c r="F21" i="11"/>
  <c r="F22" i="11"/>
  <c r="C35" i="11" l="1"/>
  <c r="X22" i="11"/>
  <c r="X27" i="11" s="1"/>
  <c r="X28" i="11" s="1"/>
  <c r="Y32" i="11" s="1"/>
  <c r="V20" i="8"/>
  <c r="Y46" i="11"/>
  <c r="X47" i="11" s="1"/>
  <c r="W22" i="11"/>
  <c r="W27" i="11" s="1"/>
  <c r="W28" i="11" s="1"/>
  <c r="U30" i="8"/>
  <c r="C35" i="12"/>
  <c r="X22" i="12"/>
  <c r="X27" i="12" s="1"/>
  <c r="X28" i="12" s="1"/>
  <c r="Y32" i="12" s="1"/>
  <c r="W22" i="12"/>
  <c r="W27" i="12" s="1"/>
  <c r="W28" i="12" s="1"/>
  <c r="Y46" i="12"/>
  <c r="X47" i="12" s="1"/>
  <c r="V23" i="8"/>
  <c r="C35" i="13"/>
  <c r="X22" i="13"/>
  <c r="X27" i="13" s="1"/>
  <c r="X28" i="13" s="1"/>
  <c r="Y32" i="13" s="1"/>
  <c r="W22" i="13"/>
  <c r="W27" i="13" s="1"/>
  <c r="W28" i="13" s="1"/>
  <c r="Y46" i="13"/>
  <c r="X47" i="13" s="1"/>
  <c r="V26" i="8"/>
  <c r="V46" i="15"/>
  <c r="D40" i="15" s="1"/>
  <c r="V47" i="15"/>
  <c r="V49" i="15"/>
  <c r="V48" i="15" s="1"/>
  <c r="Y46" i="16"/>
  <c r="X47" i="16" s="1"/>
  <c r="C35" i="16"/>
  <c r="X22" i="16"/>
  <c r="X27" i="16" s="1"/>
  <c r="X28" i="16" s="1"/>
  <c r="Y32" i="16" s="1"/>
  <c r="W22" i="16"/>
  <c r="W27" i="16" s="1"/>
  <c r="W28" i="16" s="1"/>
  <c r="V23" i="9"/>
  <c r="C35" i="10"/>
  <c r="X22" i="10"/>
  <c r="X27" i="10" s="1"/>
  <c r="X28" i="10" s="1"/>
  <c r="Y32" i="10" s="1"/>
  <c r="Y46" i="10"/>
  <c r="X47" i="10" s="1"/>
  <c r="W22" i="10"/>
  <c r="W27" i="10" s="1"/>
  <c r="W28" i="10" s="1"/>
  <c r="V17" i="8"/>
  <c r="V30" i="8" s="1"/>
  <c r="E35" i="3" s="1"/>
  <c r="C34" i="12"/>
  <c r="X42" i="12" s="1"/>
  <c r="Y42" i="12"/>
  <c r="W42" i="12" s="1"/>
  <c r="U30" i="9"/>
  <c r="C34" i="11"/>
  <c r="Y40" i="11" s="1"/>
  <c r="C35" i="14"/>
  <c r="X22" i="14"/>
  <c r="X27" i="14" s="1"/>
  <c r="X28" i="14" s="1"/>
  <c r="Y32" i="14" s="1"/>
  <c r="W22" i="14"/>
  <c r="W27" i="14" s="1"/>
  <c r="W28" i="14" s="1"/>
  <c r="Y46" i="14"/>
  <c r="X47" i="14" s="1"/>
  <c r="V17" i="9"/>
  <c r="V30" i="9" s="1"/>
  <c r="E36" i="3" s="1"/>
  <c r="C34" i="14"/>
  <c r="Y42" i="14" s="1"/>
  <c r="X46" i="16" l="1"/>
  <c r="W48" i="16" s="1"/>
  <c r="C34" i="13"/>
  <c r="W37" i="12"/>
  <c r="Y40" i="12"/>
  <c r="X40" i="12"/>
  <c r="W37" i="14"/>
  <c r="Y40" i="14"/>
  <c r="X32" i="14"/>
  <c r="W32" i="14"/>
  <c r="Y42" i="11"/>
  <c r="X46" i="10"/>
  <c r="C34" i="10"/>
  <c r="X46" i="13"/>
  <c r="X32" i="12"/>
  <c r="W32" i="12"/>
  <c r="C34" i="16"/>
  <c r="X42" i="11"/>
  <c r="X40" i="14"/>
  <c r="X42" i="14"/>
  <c r="W42" i="14" s="1"/>
  <c r="X40" i="11"/>
  <c r="W40" i="11" s="1"/>
  <c r="X46" i="12"/>
  <c r="X46" i="14"/>
  <c r="W37" i="11"/>
  <c r="W32" i="10"/>
  <c r="X32" i="10"/>
  <c r="W32" i="16"/>
  <c r="X32" i="16"/>
  <c r="X32" i="13"/>
  <c r="W32" i="13"/>
  <c r="W32" i="11"/>
  <c r="X32" i="11"/>
  <c r="X46" i="11"/>
  <c r="W46" i="16" l="1"/>
  <c r="W40" i="14"/>
  <c r="V40" i="14" s="1"/>
  <c r="V37" i="14" s="1"/>
  <c r="V35" i="14" s="1"/>
  <c r="D39" i="14" s="1"/>
  <c r="H17" i="9" s="1"/>
  <c r="Z32" i="14"/>
  <c r="G40" i="14" s="1"/>
  <c r="Y83" i="14" s="1"/>
  <c r="W40" i="12"/>
  <c r="V40" i="12" s="1"/>
  <c r="V37" i="12" s="1"/>
  <c r="V35" i="12" s="1"/>
  <c r="D39" i="12" s="1"/>
  <c r="H23" i="8" s="1"/>
  <c r="W42" i="11"/>
  <c r="V40" i="11"/>
  <c r="V37" i="11" s="1"/>
  <c r="V35" i="11" s="1"/>
  <c r="D39" i="11" s="1"/>
  <c r="H20" i="8" s="1"/>
  <c r="Z32" i="10"/>
  <c r="G40" i="10" s="1"/>
  <c r="Y83" i="10" s="1"/>
  <c r="Z32" i="16"/>
  <c r="G40" i="16" s="1"/>
  <c r="Y83" i="16" s="1"/>
  <c r="W47" i="16"/>
  <c r="X40" i="13"/>
  <c r="X42" i="13"/>
  <c r="Y42" i="13"/>
  <c r="W37" i="13"/>
  <c r="Y40" i="13"/>
  <c r="X40" i="16"/>
  <c r="Y40" i="16"/>
  <c r="W37" i="16"/>
  <c r="X42" i="16"/>
  <c r="Y42" i="16"/>
  <c r="W42" i="16" s="1"/>
  <c r="X42" i="10"/>
  <c r="Y42" i="10"/>
  <c r="W42" i="10" s="1"/>
  <c r="X40" i="10"/>
  <c r="W40" i="10" s="1"/>
  <c r="V40" i="10" s="1"/>
  <c r="V37" i="10" s="1"/>
  <c r="V35" i="10" s="1"/>
  <c r="D39" i="10" s="1"/>
  <c r="H17" i="8" s="1"/>
  <c r="W37" i="10"/>
  <c r="Y40" i="10"/>
  <c r="Z32" i="11"/>
  <c r="G40" i="11" s="1"/>
  <c r="Y83" i="11" s="1"/>
  <c r="V49" i="16"/>
  <c r="V47" i="16"/>
  <c r="V46" i="16"/>
  <c r="D40" i="16" s="1"/>
  <c r="V48" i="16"/>
  <c r="Z32" i="12"/>
  <c r="G40" i="12" s="1"/>
  <c r="Y83" i="12" s="1"/>
  <c r="W48" i="12"/>
  <c r="W47" i="12" s="1"/>
  <c r="W46" i="12"/>
  <c r="W48" i="10"/>
  <c r="W47" i="10"/>
  <c r="W46" i="10"/>
  <c r="W46" i="14"/>
  <c r="W47" i="14"/>
  <c r="W48" i="11"/>
  <c r="W47" i="11" s="1"/>
  <c r="W46" i="11"/>
  <c r="Z32" i="13"/>
  <c r="G40" i="13" s="1"/>
  <c r="Y83" i="13" s="1"/>
  <c r="W48" i="13"/>
  <c r="W46" i="13"/>
  <c r="W47" i="13"/>
  <c r="W40" i="16" l="1"/>
  <c r="V40" i="16"/>
  <c r="V37" i="16" s="1"/>
  <c r="V35" i="16" s="1"/>
  <c r="D39" i="16" s="1"/>
  <c r="H23" i="9" s="1"/>
  <c r="W40" i="13"/>
  <c r="W42" i="13"/>
  <c r="V40" i="13" s="1"/>
  <c r="V37" i="13" s="1"/>
  <c r="V35" i="13" s="1"/>
  <c r="D39" i="13" s="1"/>
  <c r="H26" i="8" s="1"/>
  <c r="V46" i="14"/>
  <c r="D40" i="14" s="1"/>
  <c r="V48" i="14"/>
  <c r="V47" i="14"/>
  <c r="V49" i="12"/>
  <c r="V48" i="12"/>
  <c r="V46" i="12"/>
  <c r="D40" i="12" s="1"/>
  <c r="V47" i="12"/>
  <c r="V49" i="13"/>
  <c r="V47" i="13"/>
  <c r="V48" i="13"/>
  <c r="V46" i="13"/>
  <c r="D40" i="13" s="1"/>
  <c r="V49" i="11"/>
  <c r="V48" i="11"/>
  <c r="V46" i="11"/>
  <c r="D40" i="11" s="1"/>
  <c r="V47" i="11"/>
  <c r="V49" i="10"/>
  <c r="V47" i="10"/>
  <c r="V46" i="10"/>
  <c r="D40" i="10" s="1"/>
  <c r="V48" i="10"/>
</calcChain>
</file>

<file path=xl/sharedStrings.xml><?xml version="1.0" encoding="utf-8"?>
<sst xmlns="http://schemas.openxmlformats.org/spreadsheetml/2006/main" count="1332" uniqueCount="358">
  <si>
    <t>CONSULTORIA Y GEOTECNIA</t>
  </si>
  <si>
    <t>Ing. Marco Peñaherrera C.</t>
  </si>
  <si>
    <t>Av. Manabí - Tef. 2653314 - Portoviejo</t>
  </si>
  <si>
    <t>OBRA:</t>
  </si>
  <si>
    <t>SITUACION:</t>
  </si>
  <si>
    <t>PARA:</t>
  </si>
  <si>
    <t>INFORME GEOTECNICO:</t>
  </si>
  <si>
    <t>ESTUDIO GEOTECNICO PARA LA CIMENTACION</t>
  </si>
  <si>
    <t xml:space="preserve">1.- GENERALIDADES.- </t>
  </si>
  <si>
    <t>Las obras a construir se detallan de acuerdo al cuadro siguiente:</t>
  </si>
  <si>
    <t>NOMBRE</t>
  </si>
  <si>
    <t>LARGO</t>
  </si>
  <si>
    <t>ANCHO</t>
  </si>
  <si>
    <t>SECCION</t>
  </si>
  <si>
    <t>PLANTAS</t>
  </si>
  <si>
    <t>PESO ESTIM.</t>
  </si>
  <si>
    <t>m</t>
  </si>
  <si>
    <t>m2</t>
  </si>
  <si>
    <t>Ton</t>
  </si>
  <si>
    <r>
      <t xml:space="preserve">2.- UBICACIÓN DE  ENSAYOS DE CAMPO.- </t>
    </r>
    <r>
      <rPr>
        <sz val="8"/>
        <rFont val="Arial"/>
        <family val="2"/>
      </rPr>
      <t>Las perforaciones realizadas se ubican de acuerdo al siguiente detalle:</t>
    </r>
  </si>
  <si>
    <t>PERFORACION</t>
  </si>
  <si>
    <t>UBICACIÓN</t>
  </si>
  <si>
    <t>PROFUNDIDAD</t>
  </si>
  <si>
    <t>COTAS</t>
  </si>
  <si>
    <r>
      <t xml:space="preserve">N </t>
    </r>
    <r>
      <rPr>
        <sz val="8"/>
        <rFont val="Calibri"/>
        <family val="2"/>
      </rPr>
      <t>˚</t>
    </r>
  </si>
  <si>
    <t>(m)</t>
  </si>
  <si>
    <t>msnm</t>
  </si>
  <si>
    <t>m SUR</t>
  </si>
  <si>
    <t>m ESTE</t>
  </si>
  <si>
    <t>Durante la ejecucion del sondeo se realizaron pruebas de penetración estándar (SPT) para la determinación de la resistencia del</t>
  </si>
  <si>
    <t>suelo, así como también se extrajeron muestras de los mismos para la posterior clasificación en el laboratorio, bajo las normas inen</t>
  </si>
  <si>
    <t>NTE-686-692-82, a cada 1,50 metros de profundidad.</t>
  </si>
  <si>
    <t>En laboratorio se determinaron las propiedades fisico - mecanicas de los suelos, asi como tambien la densidad natural y relacion</t>
  </si>
  <si>
    <t>de vacios natural.</t>
  </si>
  <si>
    <t xml:space="preserve">La evaluación geológico- geotécnica se desarrolla en base a los trabajos de campo y laboratorio, describiendo los datos obtenidos </t>
  </si>
  <si>
    <t>de los cuadros de perforación y parámetros  así como por el criterio y experiencia en trabajos de características similares rea-</t>
  </si>
  <si>
    <t>lizadas por el suscrito con anterioridad.</t>
  </si>
  <si>
    <r>
      <t>Todos los cálculos realizados para la obtención de parámetros de dise</t>
    </r>
    <r>
      <rPr>
        <sz val="8"/>
        <rFont val="Arial"/>
        <family val="2"/>
      </rPr>
      <t xml:space="preserve">ño se han realizado en base a los criterios de la Mecánica </t>
    </r>
  </si>
  <si>
    <t>de Suelos.</t>
  </si>
  <si>
    <t>3.- ESTRUCTURA GEOLOGICA.-</t>
  </si>
  <si>
    <t xml:space="preserve">La zona geologica de Manabi comprende  el anticlinal Terciario denominado Fm. </t>
  </si>
  <si>
    <t>Tosagua como basamento estructural, cuya litologia se detalla como sigue:</t>
  </si>
  <si>
    <t>PERIODO</t>
  </si>
  <si>
    <t>FORMACION</t>
  </si>
  <si>
    <t>LITOLOGIA</t>
  </si>
  <si>
    <t>TERCIARIO</t>
  </si>
  <si>
    <t>MIOCENO</t>
  </si>
  <si>
    <t>ARCILITAS Y LUTITAS - ARENISCAS</t>
  </si>
  <si>
    <t>OLIGOCENO</t>
  </si>
  <si>
    <t>TOSAGUA</t>
  </si>
  <si>
    <t>ARENISCAS -LUTITAS TOBAS Y BRECHAS</t>
  </si>
  <si>
    <t>SECUNDARIO</t>
  </si>
  <si>
    <t>PIÑON</t>
  </si>
  <si>
    <t>LAVAS BASALTICAS Y DOLERITAS</t>
  </si>
  <si>
    <t>4.- PERFIL ESTRATIGRAFICO.-</t>
  </si>
  <si>
    <t>Los suelos encontrados se presentan en una columna estratigrafica en base a los cuadros de</t>
  </si>
  <si>
    <t>perforacion anexos al presente informe:</t>
  </si>
  <si>
    <t>PERFORACION N° 1</t>
  </si>
  <si>
    <t>COTA</t>
  </si>
  <si>
    <t>CARACTERIZACION</t>
  </si>
  <si>
    <t>Pperforacion N° 2</t>
  </si>
  <si>
    <t>NIVEL FREATICO.- No se encontro agua hasta la profundidad tope explorada.</t>
  </si>
  <si>
    <t>5.- PARAMETROS GEOTECNICOS.-</t>
  </si>
  <si>
    <t>Se detalla a continuación los valores mas importantes para la obra:</t>
  </si>
  <si>
    <t>LIMITE LIQ</t>
  </si>
  <si>
    <t>INDICE PLAST</t>
  </si>
  <si>
    <t>PASA # 200</t>
  </si>
  <si>
    <t>N</t>
  </si>
  <si>
    <t>qu</t>
  </si>
  <si>
    <t>DENSIDAD NAT</t>
  </si>
  <si>
    <t>Ø</t>
  </si>
  <si>
    <t>%</t>
  </si>
  <si>
    <t>gps/ft</t>
  </si>
  <si>
    <t>Kg/cm2</t>
  </si>
  <si>
    <t>Kg/m3</t>
  </si>
  <si>
    <t>(°)</t>
  </si>
  <si>
    <t>6.- ANALISIS.-</t>
  </si>
  <si>
    <t>para cimentaciones rectangulares</t>
  </si>
  <si>
    <t>area aporte:</t>
  </si>
  <si>
    <t>capa de lastre el mismo que esta compuesto por una grava arenosa con pocos finos plasticos, para toda el area de implantacion</t>
  </si>
  <si>
    <t>y con la dimension de 1,5 veces a cada lado de la misma.</t>
  </si>
  <si>
    <r>
      <t>qadm: cNc+ΣDfNq+</t>
    </r>
    <r>
      <rPr>
        <sz val="8"/>
        <rFont val="Calibri"/>
        <family val="2"/>
      </rPr>
      <t>γ</t>
    </r>
    <r>
      <rPr>
        <sz val="8"/>
        <rFont val="Arial"/>
        <family val="2"/>
      </rPr>
      <t>dBN</t>
    </r>
    <r>
      <rPr>
        <sz val="8"/>
        <rFont val="Calibri"/>
        <family val="2"/>
      </rPr>
      <t>γ</t>
    </r>
    <r>
      <rPr>
        <sz val="8"/>
        <rFont val="Arial"/>
        <family val="2"/>
      </rPr>
      <t>/2</t>
    </r>
  </si>
  <si>
    <r>
      <t>Nc,Nq,N</t>
    </r>
    <r>
      <rPr>
        <sz val="8"/>
        <rFont val="Calibri"/>
        <family val="2"/>
      </rPr>
      <t>γ</t>
    </r>
    <r>
      <rPr>
        <sz val="8"/>
        <rFont val="Arial"/>
        <family val="2"/>
      </rPr>
      <t>:</t>
    </r>
  </si>
  <si>
    <t>coeficientes de capacidad de carga</t>
  </si>
  <si>
    <t>Df:</t>
  </si>
  <si>
    <t>profundidad de desplante de cimentación</t>
  </si>
  <si>
    <t>B:</t>
  </si>
  <si>
    <t>ancho cimentación.</t>
  </si>
  <si>
    <t>L:</t>
  </si>
  <si>
    <t>largo cimentacion.</t>
  </si>
  <si>
    <t>qu:</t>
  </si>
  <si>
    <r>
      <rPr>
        <sz val="8"/>
        <rFont val="Calibri"/>
        <family val="2"/>
      </rPr>
      <t>γ</t>
    </r>
    <r>
      <rPr>
        <sz val="8"/>
        <rFont val="Arial"/>
        <family val="2"/>
      </rPr>
      <t>d:</t>
    </r>
  </si>
  <si>
    <t>Ton/m3</t>
  </si>
  <si>
    <t>Cu:</t>
  </si>
  <si>
    <t>qadm:</t>
  </si>
  <si>
    <t>Ton/m2</t>
  </si>
  <si>
    <t>Carga Total:</t>
  </si>
  <si>
    <t>Area cimentac.</t>
  </si>
  <si>
    <t>Carga Unitaria:</t>
  </si>
  <si>
    <t>Factor Seguridad:</t>
  </si>
  <si>
    <t>Se requiere de mejoramiento bajo cimentacion</t>
  </si>
  <si>
    <t>7.- PARAMETROS PARA EL DISEÑO DE LOS CIMIENTOS.-</t>
  </si>
  <si>
    <t>PARAMETRO</t>
  </si>
  <si>
    <t>COTA REFERENCIA PISO</t>
  </si>
  <si>
    <t>COTA DE CONTRAPISO</t>
  </si>
  <si>
    <t>m (+)</t>
  </si>
  <si>
    <t>COTA EXCAV BAJO CIMENT.</t>
  </si>
  <si>
    <t>m(-)</t>
  </si>
  <si>
    <t>COTA DE CIMENTAC.</t>
  </si>
  <si>
    <t>m (-)</t>
  </si>
  <si>
    <t>ESPESOR RELLENO BAJO CIM.</t>
  </si>
  <si>
    <t>m.</t>
  </si>
  <si>
    <t>ESFUERZO ADMISIBLE</t>
  </si>
  <si>
    <t>TIPO DE CIMENTACCION</t>
  </si>
  <si>
    <t>ASENTAMIENTO</t>
  </si>
  <si>
    <t>TIPO DE RELLENO</t>
  </si>
  <si>
    <t>LASTRE CON PIEDRA DURA</t>
  </si>
  <si>
    <t>8.- RECOMENDACIONES GENETRALES.-</t>
  </si>
  <si>
    <t>capa de lastre la que esta compuesta por  grava arenosa con pocos finos plasticos, en un area que tenga 1,5 la dimension de cada</t>
  </si>
  <si>
    <t>lado del elemento de hormigon armado.</t>
  </si>
  <si>
    <t xml:space="preserve">El relleno debe compactarse en capas de 0,25 m. como maximo de espersor y se recomienda comprobar la compactacion mediante </t>
  </si>
  <si>
    <t>densimetro hasta alcanzar por lo menos el 98 % de la maxima densidad de laboratorio.</t>
  </si>
  <si>
    <t xml:space="preserve">Es importante indicar que el mejoramiento del suelo de fundacion obedece a la nacesidad de eliminar la capa superior actual del </t>
  </si>
  <si>
    <t>esfuerzo cortante determinado en las pruebas de penetracion estandar ( SPT ).</t>
  </si>
  <si>
    <t>Reg. Prof. N° 01-13-364 CICM</t>
  </si>
  <si>
    <t>Av. Manabí - Tef. 2564314 - Portoviejo</t>
  </si>
  <si>
    <t>PARAMETROS GEOMECANICOS</t>
  </si>
  <si>
    <t>DATOS:</t>
  </si>
  <si>
    <t>ZAPATAS</t>
  </si>
  <si>
    <t>Ancho: m</t>
  </si>
  <si>
    <t>φ:  cm</t>
  </si>
  <si>
    <t>Gs:</t>
  </si>
  <si>
    <t>Largo: m</t>
  </si>
  <si>
    <t>A: cm2</t>
  </si>
  <si>
    <t>Δp:</t>
  </si>
  <si>
    <t>SUELO TIPO:</t>
  </si>
  <si>
    <t>MH</t>
  </si>
  <si>
    <t xml:space="preserve"> COTAS</t>
  </si>
  <si>
    <t>"N"</t>
  </si>
  <si>
    <t>z</t>
  </si>
  <si>
    <t>PESO RECUP.</t>
  </si>
  <si>
    <t>L RECUP</t>
  </si>
  <si>
    <t>γ</t>
  </si>
  <si>
    <t>q adm</t>
  </si>
  <si>
    <t>golpes/pie</t>
  </si>
  <si>
    <t>gr</t>
  </si>
  <si>
    <t>cm</t>
  </si>
  <si>
    <t>ton/m3</t>
  </si>
  <si>
    <t>ton/m2</t>
  </si>
  <si>
    <t xml:space="preserve">ANALISIS DE ASENTAMIENTO </t>
  </si>
  <si>
    <r>
      <rPr>
        <sz val="9"/>
        <rFont val="Calibri"/>
        <family val="2"/>
      </rPr>
      <t>ω</t>
    </r>
    <r>
      <rPr>
        <sz val="9"/>
        <rFont val="Arial"/>
        <family val="2"/>
      </rPr>
      <t xml:space="preserve">: </t>
    </r>
  </si>
  <si>
    <t>Wd</t>
  </si>
  <si>
    <t>Vs</t>
  </si>
  <si>
    <t>Vv</t>
  </si>
  <si>
    <t>e:</t>
  </si>
  <si>
    <t>Po</t>
  </si>
  <si>
    <t>Cr</t>
  </si>
  <si>
    <r>
      <rPr>
        <sz val="9"/>
        <rFont val="Calibri"/>
        <family val="2"/>
      </rPr>
      <t>Δ</t>
    </r>
    <r>
      <rPr>
        <sz val="9"/>
        <rFont val="Arial"/>
        <family val="2"/>
      </rPr>
      <t>H</t>
    </r>
  </si>
  <si>
    <t>cm3</t>
  </si>
  <si>
    <t>Ing. Marco Penaherrera C.</t>
  </si>
  <si>
    <t>Av. Manabi - Tef. 2564314 - Portoviejo</t>
  </si>
  <si>
    <t>PROYECTO:</t>
  </si>
  <si>
    <t>UBICACIÓN:</t>
  </si>
  <si>
    <t>INFORME DE CONSULTORIA:</t>
  </si>
  <si>
    <t>CIMENTACION TIPO</t>
  </si>
  <si>
    <t>Espesor de relleno bajo cimentacion: 0.80 m.</t>
  </si>
  <si>
    <t>B*= 1,5 B</t>
  </si>
  <si>
    <t>SONDEO 1</t>
  </si>
  <si>
    <t>SONDEO 2</t>
  </si>
  <si>
    <t>Teléfono: 05-2-653 314 /  Móvil: 09-8-897 750 / 09-6-077 407</t>
  </si>
  <si>
    <t>E-mail:  mpc@mpccorporacion.com / web:www.mpccorporacion.com</t>
  </si>
  <si>
    <t>PORTOVIEJO - MANABI - ECUADOR</t>
  </si>
  <si>
    <t>Profundidad M.</t>
  </si>
  <si>
    <t>Muestra       Nº</t>
  </si>
  <si>
    <t>S</t>
  </si>
  <si>
    <t>Resistencia Seca</t>
  </si>
  <si>
    <r>
      <t xml:space="preserve">`N´                 </t>
    </r>
    <r>
      <rPr>
        <i/>
        <sz val="6"/>
        <rFont val="Arial"/>
        <family val="2"/>
      </rPr>
      <t>(GOLPES)</t>
    </r>
  </si>
  <si>
    <r>
      <t xml:space="preserve">QU                </t>
    </r>
    <r>
      <rPr>
        <i/>
        <sz val="6"/>
        <rFont val="Arial"/>
        <family val="2"/>
      </rPr>
      <t>(Ks/cm3)</t>
    </r>
  </si>
  <si>
    <t>Humedad          %</t>
  </si>
  <si>
    <t>Límite</t>
  </si>
  <si>
    <t>Indice</t>
  </si>
  <si>
    <t>% Para</t>
  </si>
  <si>
    <t>HUMEDADES</t>
  </si>
  <si>
    <t>Descripción del material</t>
  </si>
  <si>
    <t>Grupo</t>
  </si>
  <si>
    <t>Líquido</t>
  </si>
  <si>
    <t>Plástico</t>
  </si>
  <si>
    <t>Tamiz</t>
  </si>
  <si>
    <t xml:space="preserve">     10    20    30    40    50    60    70    80    90</t>
  </si>
  <si>
    <t>Nª 4</t>
  </si>
  <si>
    <t>Nª 200</t>
  </si>
  <si>
    <t>NIVEL ACTUAL DEL TERRENO</t>
  </si>
  <si>
    <t>CUADRO DE PERFORACIÓN</t>
  </si>
  <si>
    <t>OBSERVACIONES:</t>
  </si>
  <si>
    <t>NO SE ENCONTRO AGUA</t>
  </si>
  <si>
    <t xml:space="preserve"> PROYECTO</t>
  </si>
  <si>
    <t xml:space="preserve"> SITUACIÓN</t>
  </si>
  <si>
    <t xml:space="preserve">  Fecha:</t>
  </si>
  <si>
    <t>PERFORACION: 1</t>
  </si>
  <si>
    <t>HOJA Nº</t>
  </si>
  <si>
    <t xml:space="preserve">  HECHO POR:</t>
  </si>
  <si>
    <t>MPC</t>
  </si>
  <si>
    <t>REVISADO POR:</t>
  </si>
  <si>
    <t xml:space="preserve"> Ref.:</t>
  </si>
  <si>
    <t>LABORATORIO DE SUELOS Y MATERIALES</t>
  </si>
  <si>
    <t xml:space="preserve">PROYECTO: </t>
  </si>
  <si>
    <t xml:space="preserve">FECHA: </t>
  </si>
  <si>
    <t>UBICACION:</t>
  </si>
  <si>
    <t>MUESTRA :</t>
  </si>
  <si>
    <t xml:space="preserve">ENSAYADO: </t>
  </si>
  <si>
    <t>HG</t>
  </si>
  <si>
    <t>CLIENTE   :</t>
  </si>
  <si>
    <t xml:space="preserve">PROFUNDIDAD: </t>
  </si>
  <si>
    <t xml:space="preserve">CALCULADO: </t>
  </si>
  <si>
    <t>MP</t>
  </si>
  <si>
    <t>ENSAYOS DE CLASIFICACION</t>
  </si>
  <si>
    <t>GRANULOMETRÍA (ASTM D422)</t>
  </si>
  <si>
    <t>HUMEDAD NATURAL(ASTM D2216)</t>
  </si>
  <si>
    <t>TAMIZ</t>
  </si>
  <si>
    <t>PESO RET.</t>
  </si>
  <si>
    <t xml:space="preserve"> </t>
  </si>
  <si>
    <t>N°</t>
  </si>
  <si>
    <t>PESO</t>
  </si>
  <si>
    <t>PARCIAL</t>
  </si>
  <si>
    <t>ACUMULADO</t>
  </si>
  <si>
    <t>RETENIDO</t>
  </si>
  <si>
    <t>QUE PASA</t>
  </si>
  <si>
    <t>ESPECIFICADO</t>
  </si>
  <si>
    <t>TARRO</t>
  </si>
  <si>
    <t>GOLPES</t>
  </si>
  <si>
    <t>HUMEDO</t>
  </si>
  <si>
    <t>SECO</t>
  </si>
  <si>
    <t>DE HUMEDAD</t>
  </si>
  <si>
    <t>PROMEDIO</t>
  </si>
  <si>
    <t>GRUESA  3"</t>
  </si>
  <si>
    <t>2 ½"</t>
  </si>
  <si>
    <t>----</t>
  </si>
  <si>
    <t>2"</t>
  </si>
  <si>
    <t>w%</t>
  </si>
  <si>
    <t>LOG N</t>
  </si>
  <si>
    <t>XY</t>
  </si>
  <si>
    <t>X2</t>
  </si>
  <si>
    <t>1½"</t>
  </si>
  <si>
    <t>LIMITE LIQUIDO(ASTM D4318)</t>
  </si>
  <si>
    <t>B=</t>
  </si>
  <si>
    <t>1"</t>
  </si>
  <si>
    <t>A=</t>
  </si>
  <si>
    <t>3/4"</t>
  </si>
  <si>
    <t>I</t>
  </si>
  <si>
    <t>LL=</t>
  </si>
  <si>
    <t>1/2"</t>
  </si>
  <si>
    <t xml:space="preserve">   </t>
  </si>
  <si>
    <t>3/8"</t>
  </si>
  <si>
    <t>SUMAS</t>
  </si>
  <si>
    <t>N°4</t>
  </si>
  <si>
    <t>MEDIAS</t>
  </si>
  <si>
    <t>&lt;  N°4</t>
  </si>
  <si>
    <t>LIMITE PLASTICO(ASTM D4318)</t>
  </si>
  <si>
    <t>N°8</t>
  </si>
  <si>
    <t>N°10</t>
  </si>
  <si>
    <t>#200 -35</t>
  </si>
  <si>
    <t>#200 -15</t>
  </si>
  <si>
    <t>LL-40</t>
  </si>
  <si>
    <t>IP-10</t>
  </si>
  <si>
    <t>N°40</t>
  </si>
  <si>
    <t>VALORES</t>
  </si>
  <si>
    <t>N°200</t>
  </si>
  <si>
    <t>&lt;  N°200</t>
  </si>
  <si>
    <t>TOTAL</t>
  </si>
  <si>
    <t>LIM. INF.</t>
  </si>
  <si>
    <t>OBSERVACIONES</t>
  </si>
  <si>
    <t>LIM. SUP.</t>
  </si>
  <si>
    <t>CUARTEO(PESO)</t>
  </si>
  <si>
    <t>P. HUM.</t>
  </si>
  <si>
    <t>P. SECO</t>
  </si>
  <si>
    <t>0.2 * a</t>
  </si>
  <si>
    <t>.005*a*c</t>
  </si>
  <si>
    <t xml:space="preserve"> .01*b*d</t>
  </si>
  <si>
    <t>IG</t>
  </si>
  <si>
    <t>DESPUES</t>
  </si>
  <si>
    <t>norma 45</t>
  </si>
  <si>
    <t>GRAVA%</t>
  </si>
  <si>
    <t>ARENA%</t>
  </si>
  <si>
    <t>LINEA A</t>
  </si>
  <si>
    <t>FINOS%</t>
  </si>
  <si>
    <t>CH</t>
  </si>
  <si>
    <t>HUMEDAD  NATURAL:</t>
  </si>
  <si>
    <t>ML</t>
  </si>
  <si>
    <t>CLASIFICACION:</t>
  </si>
  <si>
    <t>LIMITE LIQUIDO:</t>
  </si>
  <si>
    <t>SUCS</t>
  </si>
  <si>
    <t>INDICE PLASTICO:</t>
  </si>
  <si>
    <t>HECHO POR:</t>
  </si>
  <si>
    <t>REVISADO</t>
  </si>
  <si>
    <t>CL</t>
  </si>
  <si>
    <t>AASTHO</t>
  </si>
  <si>
    <t>INDICE  DE GRUPO:</t>
  </si>
  <si>
    <t>GW o GP</t>
  </si>
  <si>
    <t>SW o SP</t>
  </si>
  <si>
    <t>GM</t>
  </si>
  <si>
    <t>SM</t>
  </si>
  <si>
    <t>GC</t>
  </si>
  <si>
    <t>SC</t>
  </si>
  <si>
    <t>x60</t>
  </si>
  <si>
    <t>E</t>
  </si>
  <si>
    <t>EDIFICIO PARA LABORATORIO DE AGUAS DE LA EPAM</t>
  </si>
  <si>
    <t>SITIO COLORADO - CANTON MANTA</t>
  </si>
  <si>
    <t>LABORATORIO DE AGUAS EPAM</t>
  </si>
  <si>
    <t>MANTA</t>
  </si>
  <si>
    <t>ARQ. RUBEN FELIX D.</t>
  </si>
  <si>
    <t>ARQ. RUBENFELIZD. - CONSTRUCTOR</t>
  </si>
  <si>
    <t>de efectuar una investigacion en el subsuelo donde se proyecta levantar el edificio para el</t>
  </si>
  <si>
    <t>LABORATORIO</t>
  </si>
  <si>
    <t>PEISTOCENO</t>
  </si>
  <si>
    <t>TABLAZO</t>
  </si>
  <si>
    <t>ARENISCAS - COQUINAS</t>
  </si>
  <si>
    <t>BORBON</t>
  </si>
  <si>
    <t>El relieve del sector presenta  una ligera pendiente hacia la costa, en sentido noroeste</t>
  </si>
  <si>
    <t>EDIFICIO LABORATORIO DE AGUAS DE LA EPAM</t>
  </si>
  <si>
    <t>A</t>
  </si>
  <si>
    <t>NO PLASTICO</t>
  </si>
  <si>
    <t>ARENA LIMOSA</t>
  </si>
  <si>
    <t>NULA</t>
  </si>
  <si>
    <t>CARRETERA MANTA MONTECRISTI</t>
  </si>
  <si>
    <t>REDONDEL DE COLORADO</t>
  </si>
  <si>
    <t>TANDUES DE AGUA POTABLE EPAM</t>
  </si>
  <si>
    <t>TERRAZA BAJA</t>
  </si>
  <si>
    <t>TERRAZA ALTA</t>
  </si>
  <si>
    <t>Pc</t>
  </si>
  <si>
    <t>El estrato superior sufrira un asentamiento de hasta 3 cm.</t>
  </si>
  <si>
    <t xml:space="preserve">terreno, por cuanto se trata de un suelo con fisuramientos debidos a la accion del sismo, los que pueden afectar la magnitud del </t>
  </si>
  <si>
    <t>Portoviejo, Noviembre 29  de 2016</t>
  </si>
  <si>
    <t>Arena limosa inorganica con baja plasticidad tipo SM</t>
  </si>
  <si>
    <t>0,00 - 6.00</t>
  </si>
  <si>
    <t>100.00 - 94.00</t>
  </si>
  <si>
    <t>0.00 - 4.50</t>
  </si>
  <si>
    <t>98.00 - 93.50</t>
  </si>
  <si>
    <t>ZAPATAS CORRIDAS</t>
  </si>
  <si>
    <t>ZONA SISMICA:</t>
  </si>
  <si>
    <t>IV</t>
  </si>
  <si>
    <t>FACTOR Z</t>
  </si>
  <si>
    <t>Se recomienda cimentar sobre zapatas corridas, y bajo estas,  un relleno de mejoramiento del suelo de fundacion conformando una</t>
  </si>
  <si>
    <t>fa</t>
  </si>
  <si>
    <t>fd</t>
  </si>
  <si>
    <t>fs</t>
  </si>
  <si>
    <t>ARQ. RUBEN FELIX D. - CONSULTOR</t>
  </si>
  <si>
    <t>Nivel de Contrapiso: 100.45 m</t>
  </si>
  <si>
    <t>Nivel de superficie terraza abajo: 100.00 m</t>
  </si>
  <si>
    <t>Nivel de cimentacion: 99,20 m</t>
  </si>
  <si>
    <t>Nivel de excavacion bajo cimentacion: 98.40 m</t>
  </si>
  <si>
    <t>CUTERNARIO</t>
  </si>
  <si>
    <t>CRETACEO</t>
  </si>
  <si>
    <t>El presente trabajo ha sido encomendado por parte del Señor Arq. Ruben Felix Delgado, con el fin</t>
  </si>
  <si>
    <t>laboratorio de aguas de la empresa de Agua Potable de Manta, en el terreno ubicado en la via Manta - Montecristi, a 300 metros</t>
  </si>
  <si>
    <t>del redondel de Colorado.</t>
  </si>
  <si>
    <t xml:space="preserve">SUELO TIPO </t>
  </si>
  <si>
    <t>D</t>
  </si>
  <si>
    <t>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</si>
</sst>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\ ?/2"/>
    <numFmt numFmtId="165" formatCode="#,##0.000_);\(#,##0.000\)"/>
    <numFmt numFmtId="166" formatCode="0.000"/>
    <numFmt numFmtId="167" formatCode="_(* #,##0_);_(* \(#,##0\);_(* &quot;-&quot;??_);_(@_)"/>
    <numFmt numFmtId="168" formatCode="_-* #,##0.00\ _P_t_s_-;\-* #,##0.00\ _P_t_s_-;_-* &quot;-&quot;??\ _P_t_s_-;_-@_-"/>
    <numFmt numFmtId="169" formatCode="_-* #,##0\ _P_t_s_-;\-* #,##0\ _P_t_s_-;_-* &quot;-&quot;??\ _P_t_s_-;_-@_-"/>
    <numFmt numFmtId="170" formatCode="d\-m\-yyyy\ "/>
    <numFmt numFmtId="171" formatCode="_-* #,##0.00\ _€_-;\-* #,##0.00\ _€_-;_-* &quot;-&quot;??\ _€_-;_-@_-"/>
    <numFmt numFmtId="172" formatCode="_ * #,##0.0_ ;_ * \-#,##0.0_ ;_ * &quot;-&quot;_ ;_ @_ "/>
    <numFmt numFmtId="173" formatCode="_ * #,##0_ ;_ * \-#,##0_ ;_ * &quot;-&quot;_ ;_ @_ "/>
    <numFmt numFmtId="174" formatCode="0.0"/>
    <numFmt numFmtId="175" formatCode="0_)"/>
    <numFmt numFmtId="176" formatCode="0.0_)"/>
    <numFmt numFmtId="177" formatCode="0_)&quot;%&quot;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b/>
      <sz val="8"/>
      <name val="SassyScript"/>
      <family val="2"/>
    </font>
    <font>
      <b/>
      <sz val="8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color indexed="9"/>
      <name val="Arial"/>
      <family val="2"/>
    </font>
    <font>
      <b/>
      <i/>
      <sz val="16"/>
      <name val="LatinWidD"/>
      <family val="2"/>
    </font>
    <font>
      <b/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6"/>
      <color indexed="62"/>
      <name val="Calibri"/>
      <family val="2"/>
    </font>
    <font>
      <sz val="10"/>
      <name val="Times New Roman"/>
      <family val="1"/>
    </font>
    <font>
      <sz val="9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2"/>
      <name val="Courier"/>
      <family val="3"/>
    </font>
    <font>
      <sz val="9"/>
      <color indexed="6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BE6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20" fillId="0" borderId="0"/>
    <xf numFmtId="168" fontId="1" fillId="0" borderId="0" applyFont="0" applyFill="0" applyBorder="0" applyAlignment="0" applyProtection="0"/>
    <xf numFmtId="0" fontId="26" fillId="0" borderId="0"/>
    <xf numFmtId="171" fontId="1" fillId="0" borderId="0" applyFont="0" applyFill="0" applyBorder="0" applyAlignment="0" applyProtection="0"/>
  </cellStyleXfs>
  <cellXfs count="52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3" fillId="0" borderId="4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4" fillId="2" borderId="6" xfId="1" applyFont="1" applyFill="1" applyBorder="1"/>
    <xf numFmtId="0" fontId="5" fillId="2" borderId="8" xfId="1" applyFont="1" applyFill="1" applyBorder="1"/>
    <xf numFmtId="0" fontId="6" fillId="2" borderId="8" xfId="1" applyFont="1" applyFill="1" applyBorder="1" applyAlignment="1">
      <alignment horizontal="left"/>
    </xf>
    <xf numFmtId="0" fontId="4" fillId="2" borderId="8" xfId="1" applyFont="1" applyFill="1" applyBorder="1"/>
    <xf numFmtId="0" fontId="7" fillId="0" borderId="0" xfId="1" applyFont="1" applyBorder="1"/>
    <xf numFmtId="0" fontId="7" fillId="0" borderId="5" xfId="1" applyFont="1" applyBorder="1"/>
    <xf numFmtId="0" fontId="7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2" fillId="0" borderId="5" xfId="1" applyNumberFormat="1" applyFont="1" applyBorder="1" applyAlignment="1">
      <alignment horizontal="center"/>
    </xf>
    <xf numFmtId="0" fontId="2" fillId="0" borderId="0" xfId="1" applyFont="1" applyBorder="1" applyAlignment="1"/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8" xfId="1" applyFont="1" applyBorder="1"/>
    <xf numFmtId="0" fontId="3" fillId="0" borderId="0" xfId="1" applyFont="1" applyBorder="1"/>
    <xf numFmtId="0" fontId="7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5" fontId="2" fillId="0" borderId="0" xfId="2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7" fillId="0" borderId="4" xfId="0" applyFont="1" applyBorder="1" applyAlignment="1"/>
    <xf numFmtId="0" fontId="8" fillId="0" borderId="5" xfId="0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left"/>
    </xf>
    <xf numFmtId="167" fontId="2" fillId="0" borderId="0" xfId="2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166" fontId="2" fillId="0" borderId="0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3"/>
    <xf numFmtId="0" fontId="2" fillId="0" borderId="1" xfId="3" applyFont="1" applyBorder="1"/>
    <xf numFmtId="0" fontId="2" fillId="0" borderId="2" xfId="3" applyFont="1" applyBorder="1"/>
    <xf numFmtId="0" fontId="2" fillId="0" borderId="3" xfId="3" applyFont="1" applyBorder="1"/>
    <xf numFmtId="0" fontId="2" fillId="0" borderId="4" xfId="3" applyFont="1" applyBorder="1"/>
    <xf numFmtId="0" fontId="2" fillId="0" borderId="5" xfId="3" applyFont="1" applyBorder="1"/>
    <xf numFmtId="0" fontId="3" fillId="0" borderId="0" xfId="3" applyFont="1" applyBorder="1"/>
    <xf numFmtId="0" fontId="2" fillId="0" borderId="0" xfId="3" applyFont="1" applyBorder="1"/>
    <xf numFmtId="0" fontId="2" fillId="0" borderId="6" xfId="3" applyFont="1" applyBorder="1"/>
    <xf numFmtId="0" fontId="2" fillId="0" borderId="7" xfId="3" applyFont="1" applyBorder="1"/>
    <xf numFmtId="0" fontId="4" fillId="2" borderId="6" xfId="3" applyFont="1" applyFill="1" applyBorder="1"/>
    <xf numFmtId="0" fontId="5" fillId="2" borderId="8" xfId="3" applyFont="1" applyFill="1" applyBorder="1"/>
    <xf numFmtId="0" fontId="6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7" fillId="0" borderId="0" xfId="3" applyFont="1" applyBorder="1"/>
    <xf numFmtId="0" fontId="7" fillId="0" borderId="5" xfId="3" applyFont="1" applyBorder="1"/>
    <xf numFmtId="0" fontId="7" fillId="0" borderId="4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/>
    <xf numFmtId="0" fontId="2" fillId="0" borderId="5" xfId="3" applyFont="1" applyBorder="1" applyAlignment="1">
      <alignment horizontal="center"/>
    </xf>
    <xf numFmtId="2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6" xfId="3" applyFont="1" applyBorder="1" applyAlignment="1">
      <alignment horizontal="left"/>
    </xf>
    <xf numFmtId="0" fontId="2" fillId="0" borderId="8" xfId="3" applyFont="1" applyBorder="1" applyAlignment="1">
      <alignment horizontal="left"/>
    </xf>
    <xf numFmtId="0" fontId="2" fillId="0" borderId="8" xfId="3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6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4" fillId="2" borderId="8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2" fillId="0" borderId="8" xfId="0" applyFont="1" applyBorder="1"/>
    <xf numFmtId="0" fontId="7" fillId="0" borderId="8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5" xfId="0" applyFont="1" applyBorder="1"/>
    <xf numFmtId="168" fontId="9" fillId="0" borderId="0" xfId="0" applyNumberFormat="1" applyFont="1" applyBorder="1"/>
    <xf numFmtId="168" fontId="9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8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8" fontId="9" fillId="0" borderId="4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center"/>
    </xf>
    <xf numFmtId="168" fontId="9" fillId="0" borderId="5" xfId="0" applyNumberFormat="1" applyFont="1" applyBorder="1"/>
    <xf numFmtId="0" fontId="0" fillId="0" borderId="0" xfId="0" applyBorder="1"/>
    <xf numFmtId="168" fontId="9" fillId="0" borderId="4" xfId="0" applyNumberFormat="1" applyFont="1" applyBorder="1"/>
    <xf numFmtId="2" fontId="9" fillId="0" borderId="4" xfId="0" applyNumberFormat="1" applyFont="1" applyBorder="1" applyAlignment="1">
      <alignment horizontal="center"/>
    </xf>
    <xf numFmtId="169" fontId="9" fillId="0" borderId="0" xfId="0" applyNumberFormat="1" applyFont="1" applyBorder="1"/>
    <xf numFmtId="2" fontId="0" fillId="0" borderId="0" xfId="0" applyNumberFormat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/>
    <xf numFmtId="168" fontId="9" fillId="0" borderId="0" xfId="0" applyNumberFormat="1" applyFont="1" applyBorder="1" applyAlignment="1">
      <alignment horizontal="left"/>
    </xf>
    <xf numFmtId="0" fontId="9" fillId="0" borderId="6" xfId="0" applyFont="1" applyBorder="1"/>
    <xf numFmtId="0" fontId="9" fillId="0" borderId="8" xfId="0" applyFont="1" applyBorder="1"/>
    <xf numFmtId="0" fontId="9" fillId="0" borderId="7" xfId="0" applyFont="1" applyBorder="1"/>
    <xf numFmtId="0" fontId="2" fillId="0" borderId="9" xfId="1" applyFont="1" applyBorder="1"/>
    <xf numFmtId="0" fontId="2" fillId="0" borderId="10" xfId="1" applyFont="1" applyBorder="1"/>
    <xf numFmtId="0" fontId="4" fillId="2" borderId="4" xfId="0" applyFont="1" applyFill="1" applyBorder="1"/>
    <xf numFmtId="0" fontId="4" fillId="2" borderId="0" xfId="0" applyFont="1" applyFill="1" applyBorder="1"/>
    <xf numFmtId="0" fontId="6" fillId="2" borderId="5" xfId="0" applyFont="1" applyFill="1" applyBorder="1" applyAlignment="1">
      <alignment horizontal="left"/>
    </xf>
    <xf numFmtId="0" fontId="2" fillId="0" borderId="11" xfId="1" applyFont="1" applyBorder="1"/>
    <xf numFmtId="0" fontId="7" fillId="0" borderId="8" xfId="1" applyFont="1" applyBorder="1"/>
    <xf numFmtId="0" fontId="7" fillId="0" borderId="7" xfId="1" applyFont="1" applyBorder="1"/>
    <xf numFmtId="0" fontId="2" fillId="0" borderId="1" xfId="0" applyFont="1" applyFill="1" applyBorder="1"/>
    <xf numFmtId="0" fontId="2" fillId="0" borderId="3" xfId="0" applyFont="1" applyFill="1" applyBorder="1"/>
    <xf numFmtId="2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2" fontId="2" fillId="0" borderId="4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166" fontId="12" fillId="0" borderId="5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15" xfId="0" applyFont="1" applyFill="1" applyBorder="1"/>
    <xf numFmtId="0" fontId="2" fillId="0" borderId="0" xfId="0" applyFont="1" applyFill="1" applyBorder="1" applyAlignment="1">
      <alignment horizontal="right"/>
    </xf>
    <xf numFmtId="0" fontId="2" fillId="4" borderId="15" xfId="0" applyFont="1" applyFill="1" applyBorder="1" applyAlignment="1"/>
    <xf numFmtId="0" fontId="0" fillId="4" borderId="15" xfId="0" applyFill="1" applyBorder="1"/>
    <xf numFmtId="0" fontId="0" fillId="4" borderId="16" xfId="0" applyFill="1" applyBorder="1"/>
    <xf numFmtId="2" fontId="2" fillId="0" borderId="13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168" fontId="9" fillId="0" borderId="18" xfId="0" applyNumberFormat="1" applyFont="1" applyBorder="1" applyAlignment="1">
      <alignment horizontal="center"/>
    </xf>
    <xf numFmtId="168" fontId="9" fillId="0" borderId="19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9" fillId="0" borderId="20" xfId="0" applyFont="1" applyBorder="1" applyAlignment="1">
      <alignment horizontal="center"/>
    </xf>
    <xf numFmtId="168" fontId="9" fillId="0" borderId="21" xfId="0" applyNumberFormat="1" applyFont="1" applyBorder="1"/>
    <xf numFmtId="168" fontId="9" fillId="0" borderId="21" xfId="0" applyNumberFormat="1" applyFont="1" applyBorder="1" applyAlignment="1">
      <alignment horizontal="center"/>
    </xf>
    <xf numFmtId="169" fontId="9" fillId="0" borderId="20" xfId="0" applyNumberFormat="1" applyFont="1" applyBorder="1" applyAlignment="1">
      <alignment horizontal="center"/>
    </xf>
    <xf numFmtId="168" fontId="9" fillId="0" borderId="15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8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9" fillId="0" borderId="13" xfId="0" applyNumberFormat="1" applyFont="1" applyBorder="1" applyAlignment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4" fillId="2" borderId="0" xfId="0" applyFont="1" applyFill="1" applyBorder="1"/>
    <xf numFmtId="0" fontId="0" fillId="2" borderId="0" xfId="0" applyFill="1"/>
    <xf numFmtId="0" fontId="15" fillId="5" borderId="9" xfId="0" applyFont="1" applyFill="1" applyBorder="1" applyAlignment="1">
      <alignment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vertical="center" wrapText="1" shrinkToFit="1"/>
    </xf>
    <xf numFmtId="0" fontId="15" fillId="5" borderId="3" xfId="0" applyFont="1" applyFill="1" applyBorder="1" applyAlignment="1">
      <alignment horizontal="center" vertical="center" wrapText="1" shrinkToFit="1"/>
    </xf>
    <xf numFmtId="0" fontId="15" fillId="5" borderId="10" xfId="0" applyFont="1" applyFill="1" applyBorder="1" applyAlignment="1">
      <alignment horizontal="center" vertical="center" wrapText="1" shrinkToFit="1"/>
    </xf>
    <xf numFmtId="0" fontId="15" fillId="5" borderId="0" xfId="0" applyFont="1" applyFill="1" applyBorder="1" applyAlignment="1">
      <alignment vertical="center" wrapText="1" shrinkToFit="1"/>
    </xf>
    <xf numFmtId="0" fontId="15" fillId="5" borderId="0" xfId="0" applyFont="1" applyFill="1" applyBorder="1" applyAlignment="1">
      <alignment horizontal="center" vertical="center" wrapText="1" shrinkToFit="1"/>
    </xf>
    <xf numFmtId="0" fontId="15" fillId="2" borderId="5" xfId="0" applyNumberFormat="1" applyFont="1" applyFill="1" applyBorder="1" applyAlignment="1">
      <alignment horizontal="left" vertical="center" wrapText="1" shrinkToFit="1"/>
    </xf>
    <xf numFmtId="0" fontId="15" fillId="5" borderId="11" xfId="0" applyFont="1" applyFill="1" applyBorder="1" applyAlignment="1">
      <alignment vertical="center" wrapText="1" shrinkToFit="1"/>
    </xf>
    <xf numFmtId="0" fontId="15" fillId="5" borderId="11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24" xfId="0" applyFont="1" applyFill="1" applyBorder="1" applyAlignment="1">
      <alignment horizontal="center" vertical="center" wrapText="1" shrinkToFit="1"/>
    </xf>
    <xf numFmtId="0" fontId="15" fillId="5" borderId="25" xfId="0" applyFont="1" applyFill="1" applyBorder="1" applyAlignment="1">
      <alignment horizontal="center" vertical="center" wrapText="1" shrinkToFit="1"/>
    </xf>
    <xf numFmtId="0" fontId="15" fillId="5" borderId="26" xfId="0" applyFont="1" applyFill="1" applyBorder="1" applyAlignment="1">
      <alignment horizontal="center"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0" xfId="0" applyFont="1" applyFill="1" applyBorder="1"/>
    <xf numFmtId="0" fontId="9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2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21" fillId="0" borderId="0" xfId="5" applyFont="1" applyBorder="1"/>
    <xf numFmtId="0" fontId="23" fillId="0" borderId="54" xfId="5" applyFont="1" applyBorder="1" applyProtection="1"/>
    <xf numFmtId="0" fontId="24" fillId="0" borderId="0" xfId="5" applyFont="1" applyBorder="1" applyProtection="1">
      <protection locked="0"/>
    </xf>
    <xf numFmtId="0" fontId="21" fillId="0" borderId="0" xfId="5" applyFont="1" applyBorder="1" applyProtection="1">
      <protection locked="0"/>
    </xf>
    <xf numFmtId="0" fontId="23" fillId="0" borderId="0" xfId="5" applyFont="1" applyBorder="1" applyProtection="1">
      <protection locked="0"/>
    </xf>
    <xf numFmtId="0" fontId="23" fillId="0" borderId="0" xfId="5" applyFont="1" applyBorder="1" applyProtection="1"/>
    <xf numFmtId="170" fontId="24" fillId="0" borderId="0" xfId="5" applyNumberFormat="1" applyFont="1" applyBorder="1" applyProtection="1">
      <protection locked="0"/>
    </xf>
    <xf numFmtId="17" fontId="23" fillId="0" borderId="0" xfId="5" applyNumberFormat="1" applyFont="1" applyBorder="1" applyProtection="1">
      <protection locked="0"/>
    </xf>
    <xf numFmtId="0" fontId="21" fillId="0" borderId="55" xfId="5" applyFont="1" applyBorder="1" applyProtection="1">
      <protection locked="0"/>
    </xf>
    <xf numFmtId="0" fontId="23" fillId="0" borderId="51" xfId="5" applyFont="1" applyBorder="1" applyProtection="1"/>
    <xf numFmtId="0" fontId="24" fillId="0" borderId="52" xfId="5" applyFont="1" applyBorder="1" applyProtection="1">
      <protection locked="0"/>
    </xf>
    <xf numFmtId="0" fontId="21" fillId="0" borderId="52" xfId="5" applyFont="1" applyBorder="1" applyProtection="1">
      <protection locked="0"/>
    </xf>
    <xf numFmtId="0" fontId="23" fillId="0" borderId="52" xfId="5" applyFont="1" applyBorder="1" applyProtection="1"/>
    <xf numFmtId="169" fontId="25" fillId="0" borderId="52" xfId="6" applyNumberFormat="1" applyFont="1" applyBorder="1" applyProtection="1">
      <protection locked="0"/>
    </xf>
    <xf numFmtId="0" fontId="23" fillId="0" borderId="52" xfId="5" applyFont="1" applyBorder="1" applyProtection="1">
      <protection locked="0"/>
    </xf>
    <xf numFmtId="0" fontId="24" fillId="0" borderId="52" xfId="5" applyFont="1" applyBorder="1" applyAlignment="1" applyProtection="1">
      <alignment horizontal="center"/>
      <protection locked="0"/>
    </xf>
    <xf numFmtId="0" fontId="21" fillId="0" borderId="53" xfId="5" applyFont="1" applyBorder="1" applyProtection="1">
      <protection locked="0"/>
    </xf>
    <xf numFmtId="168" fontId="24" fillId="0" borderId="52" xfId="6" applyFont="1" applyBorder="1" applyAlignment="1" applyProtection="1">
      <alignment horizontal="center"/>
      <protection locked="0"/>
    </xf>
    <xf numFmtId="0" fontId="23" fillId="0" borderId="52" xfId="5" quotePrefix="1" applyFont="1" applyBorder="1" applyProtection="1">
      <protection locked="0"/>
    </xf>
    <xf numFmtId="0" fontId="23" fillId="0" borderId="52" xfId="5" applyFont="1" applyBorder="1" applyAlignment="1" applyProtection="1">
      <alignment horizontal="left"/>
    </xf>
    <xf numFmtId="0" fontId="21" fillId="0" borderId="54" xfId="5" applyFont="1" applyBorder="1"/>
    <xf numFmtId="0" fontId="23" fillId="0" borderId="0" xfId="5" applyFont="1" applyBorder="1"/>
    <xf numFmtId="0" fontId="21" fillId="0" borderId="55" xfId="5" applyFont="1" applyBorder="1"/>
    <xf numFmtId="0" fontId="21" fillId="0" borderId="57" xfId="5" applyFont="1" applyBorder="1" applyAlignment="1">
      <alignment horizontal="center" vertical="center"/>
    </xf>
    <xf numFmtId="0" fontId="21" fillId="0" borderId="56" xfId="5" applyFont="1" applyBorder="1" applyAlignment="1">
      <alignment horizontal="center"/>
    </xf>
    <xf numFmtId="0" fontId="21" fillId="0" borderId="57" xfId="5" applyFont="1" applyBorder="1" applyAlignment="1">
      <alignment horizontal="center"/>
    </xf>
    <xf numFmtId="0" fontId="21" fillId="0" borderId="59" xfId="5" applyFont="1" applyBorder="1" applyAlignment="1">
      <alignment horizontal="center" vertical="center"/>
    </xf>
    <xf numFmtId="0" fontId="21" fillId="0" borderId="58" xfId="5" applyFont="1" applyBorder="1" applyAlignment="1">
      <alignment horizontal="center"/>
    </xf>
    <xf numFmtId="0" fontId="21" fillId="0" borderId="59" xfId="5" applyFont="1" applyBorder="1" applyAlignment="1">
      <alignment horizontal="center"/>
    </xf>
    <xf numFmtId="0" fontId="21" fillId="0" borderId="59" xfId="5" applyFont="1" applyBorder="1"/>
    <xf numFmtId="0" fontId="23" fillId="0" borderId="60" xfId="5" applyFont="1" applyBorder="1" applyAlignment="1">
      <alignment horizontal="right"/>
    </xf>
    <xf numFmtId="168" fontId="24" fillId="0" borderId="60" xfId="8" applyNumberFormat="1" applyFont="1" applyBorder="1" applyAlignment="1" applyProtection="1">
      <alignment horizontal="center"/>
      <protection locked="0"/>
    </xf>
    <xf numFmtId="168" fontId="21" fillId="0" borderId="60" xfId="8" applyNumberFormat="1" applyFont="1" applyBorder="1" applyAlignment="1" applyProtection="1">
      <alignment horizontal="center"/>
      <protection locked="0"/>
    </xf>
    <xf numFmtId="169" fontId="25" fillId="0" borderId="60" xfId="8" applyNumberFormat="1" applyFont="1" applyBorder="1" applyAlignment="1">
      <alignment horizontal="center"/>
    </xf>
    <xf numFmtId="172" fontId="23" fillId="0" borderId="60" xfId="5" applyNumberFormat="1" applyFont="1" applyBorder="1" applyAlignment="1">
      <alignment horizontal="center"/>
    </xf>
    <xf numFmtId="173" fontId="21" fillId="0" borderId="60" xfId="5" applyNumberFormat="1" applyFont="1" applyBorder="1" applyAlignment="1">
      <alignment horizontal="center"/>
    </xf>
    <xf numFmtId="0" fontId="21" fillId="0" borderId="60" xfId="5" applyFont="1" applyBorder="1" applyAlignment="1" applyProtection="1">
      <alignment horizontal="center"/>
      <protection locked="0"/>
    </xf>
    <xf numFmtId="2" fontId="21" fillId="0" borderId="60" xfId="5" applyNumberFormat="1" applyFont="1" applyBorder="1" applyAlignment="1">
      <alignment horizontal="center"/>
    </xf>
    <xf numFmtId="0" fontId="21" fillId="0" borderId="60" xfId="5" applyFont="1" applyBorder="1"/>
    <xf numFmtId="168" fontId="25" fillId="0" borderId="60" xfId="8" applyNumberFormat="1" applyFont="1" applyBorder="1" applyAlignment="1">
      <alignment horizontal="center"/>
    </xf>
    <xf numFmtId="168" fontId="21" fillId="0" borderId="60" xfId="5" applyNumberFormat="1" applyFont="1" applyBorder="1" applyAlignment="1">
      <alignment horizontal="center"/>
    </xf>
    <xf numFmtId="0" fontId="21" fillId="0" borderId="60" xfId="5" quotePrefix="1" applyFont="1" applyBorder="1" applyAlignment="1" applyProtection="1">
      <alignment horizontal="center"/>
      <protection locked="0"/>
    </xf>
    <xf numFmtId="2" fontId="24" fillId="0" borderId="60" xfId="5" applyNumberFormat="1" applyFont="1" applyBorder="1" applyAlignment="1" applyProtection="1">
      <alignment horizontal="center"/>
      <protection locked="0"/>
    </xf>
    <xf numFmtId="2" fontId="21" fillId="0" borderId="60" xfId="5" applyNumberFormat="1" applyFont="1" applyBorder="1"/>
    <xf numFmtId="0" fontId="21" fillId="0" borderId="0" xfId="7" applyFont="1" applyBorder="1"/>
    <xf numFmtId="174" fontId="23" fillId="0" borderId="34" xfId="7" applyNumberFormat="1" applyFont="1" applyBorder="1" applyProtection="1"/>
    <xf numFmtId="168" fontId="24" fillId="0" borderId="60" xfId="6" applyFont="1" applyBorder="1" applyAlignment="1" applyProtection="1">
      <alignment horizontal="right"/>
      <protection locked="0"/>
    </xf>
    <xf numFmtId="168" fontId="21" fillId="0" borderId="60" xfId="6" applyFont="1" applyBorder="1" applyAlignment="1" applyProtection="1">
      <alignment horizontal="center"/>
      <protection locked="0"/>
    </xf>
    <xf numFmtId="168" fontId="21" fillId="0" borderId="60" xfId="6" applyNumberFormat="1" applyFont="1" applyBorder="1" applyAlignment="1" applyProtection="1">
      <alignment horizontal="center"/>
      <protection locked="0"/>
    </xf>
    <xf numFmtId="168" fontId="21" fillId="0" borderId="60" xfId="6" applyFont="1" applyBorder="1" applyAlignment="1">
      <alignment horizontal="center"/>
    </xf>
    <xf numFmtId="2" fontId="24" fillId="0" borderId="60" xfId="5" applyNumberFormat="1" applyFont="1" applyBorder="1" applyAlignment="1">
      <alignment horizontal="center"/>
    </xf>
    <xf numFmtId="2" fontId="23" fillId="0" borderId="60" xfId="5" applyNumberFormat="1" applyFont="1" applyBorder="1" applyAlignment="1">
      <alignment horizontal="center"/>
    </xf>
    <xf numFmtId="0" fontId="23" fillId="0" borderId="34" xfId="7" applyFont="1" applyBorder="1" applyAlignment="1" applyProtection="1">
      <alignment horizontal="center"/>
    </xf>
    <xf numFmtId="0" fontId="21" fillId="0" borderId="0" xfId="7" applyFont="1" applyBorder="1" applyProtection="1"/>
    <xf numFmtId="2" fontId="23" fillId="0" borderId="0" xfId="5" applyNumberFormat="1" applyFont="1" applyFill="1" applyBorder="1"/>
    <xf numFmtId="2" fontId="21" fillId="0" borderId="0" xfId="5" applyNumberFormat="1" applyFont="1" applyBorder="1"/>
    <xf numFmtId="2" fontId="21" fillId="0" borderId="0" xfId="5" applyNumberFormat="1" applyFont="1" applyFill="1" applyBorder="1"/>
    <xf numFmtId="2" fontId="21" fillId="0" borderId="55" xfId="5" applyNumberFormat="1" applyFont="1" applyFill="1" applyBorder="1"/>
    <xf numFmtId="37" fontId="21" fillId="0" borderId="0" xfId="7" applyNumberFormat="1" applyFont="1" applyBorder="1" applyProtection="1"/>
    <xf numFmtId="174" fontId="21" fillId="0" borderId="0" xfId="7" applyNumberFormat="1" applyFont="1" applyBorder="1" applyProtection="1"/>
    <xf numFmtId="0" fontId="21" fillId="0" borderId="0" xfId="7" applyFont="1" applyBorder="1" applyAlignment="1" applyProtection="1">
      <alignment horizontal="right"/>
    </xf>
    <xf numFmtId="0" fontId="21" fillId="0" borderId="34" xfId="7" applyFont="1" applyBorder="1" applyProtection="1"/>
    <xf numFmtId="2" fontId="21" fillId="0" borderId="34" xfId="7" applyNumberFormat="1" applyFont="1" applyBorder="1" applyProtection="1"/>
    <xf numFmtId="0" fontId="24" fillId="0" borderId="60" xfId="5" applyFont="1" applyBorder="1" applyAlignment="1" applyProtection="1">
      <alignment horizontal="center"/>
      <protection locked="0"/>
    </xf>
    <xf numFmtId="37" fontId="21" fillId="0" borderId="34" xfId="7" applyNumberFormat="1" applyFont="1" applyBorder="1" applyProtection="1"/>
    <xf numFmtId="174" fontId="21" fillId="0" borderId="34" xfId="7" applyNumberFormat="1" applyFont="1" applyBorder="1" applyProtection="1"/>
    <xf numFmtId="168" fontId="24" fillId="0" borderId="60" xfId="6" applyNumberFormat="1" applyFont="1" applyBorder="1" applyAlignment="1" applyProtection="1">
      <alignment horizontal="right"/>
      <protection locked="0"/>
    </xf>
    <xf numFmtId="2" fontId="21" fillId="0" borderId="60" xfId="5" applyNumberFormat="1" applyFont="1" applyBorder="1" applyAlignment="1" applyProtection="1">
      <alignment horizontal="center"/>
      <protection locked="0"/>
    </xf>
    <xf numFmtId="2" fontId="21" fillId="0" borderId="0" xfId="5" applyNumberFormat="1" applyFont="1" applyBorder="1" applyAlignment="1">
      <alignment horizontal="center"/>
    </xf>
    <xf numFmtId="0" fontId="21" fillId="0" borderId="34" xfId="7" applyFont="1" applyBorder="1" applyAlignment="1" applyProtection="1">
      <alignment horizontal="center"/>
    </xf>
    <xf numFmtId="0" fontId="21" fillId="0" borderId="34" xfId="7" applyFont="1" applyBorder="1"/>
    <xf numFmtId="0" fontId="23" fillId="0" borderId="61" xfId="5" applyFont="1" applyBorder="1" applyAlignment="1">
      <alignment horizontal="right"/>
    </xf>
    <xf numFmtId="168" fontId="24" fillId="0" borderId="61" xfId="6" applyNumberFormat="1" applyFont="1" applyBorder="1" applyAlignment="1" applyProtection="1">
      <alignment horizontal="right"/>
      <protection locked="0"/>
    </xf>
    <xf numFmtId="168" fontId="21" fillId="0" borderId="61" xfId="6" applyFont="1" applyBorder="1" applyAlignment="1" applyProtection="1">
      <alignment horizontal="center"/>
      <protection locked="0"/>
    </xf>
    <xf numFmtId="168" fontId="21" fillId="0" borderId="61" xfId="6" applyNumberFormat="1" applyFont="1" applyBorder="1" applyAlignment="1" applyProtection="1">
      <alignment horizontal="center"/>
      <protection locked="0"/>
    </xf>
    <xf numFmtId="168" fontId="21" fillId="0" borderId="61" xfId="6" applyFont="1" applyBorder="1" applyAlignment="1">
      <alignment horizontal="center"/>
    </xf>
    <xf numFmtId="173" fontId="21" fillId="0" borderId="61" xfId="5" applyNumberFormat="1" applyFont="1" applyBorder="1" applyAlignment="1">
      <alignment horizontal="center"/>
    </xf>
    <xf numFmtId="0" fontId="21" fillId="0" borderId="0" xfId="5" applyFont="1" applyFill="1" applyBorder="1"/>
    <xf numFmtId="2" fontId="23" fillId="0" borderId="0" xfId="5" applyNumberFormat="1" applyFont="1" applyFill="1" applyBorder="1" applyAlignment="1">
      <alignment horizontal="left"/>
    </xf>
    <xf numFmtId="0" fontId="23" fillId="0" borderId="58" xfId="5" applyFont="1" applyBorder="1" applyAlignment="1">
      <alignment horizontal="right"/>
    </xf>
    <xf numFmtId="168" fontId="24" fillId="0" borderId="58" xfId="6" applyFont="1" applyBorder="1" applyAlignment="1" applyProtection="1">
      <alignment horizontal="right"/>
      <protection locked="0"/>
    </xf>
    <xf numFmtId="172" fontId="21" fillId="0" borderId="58" xfId="5" applyNumberFormat="1" applyFont="1" applyBorder="1" applyAlignment="1" applyProtection="1">
      <alignment horizontal="center"/>
      <protection locked="0"/>
    </xf>
    <xf numFmtId="168" fontId="24" fillId="0" borderId="58" xfId="5" applyNumberFormat="1" applyFont="1" applyBorder="1" applyAlignment="1">
      <alignment horizontal="center"/>
    </xf>
    <xf numFmtId="172" fontId="21" fillId="0" borderId="58" xfId="5" applyNumberFormat="1" applyFont="1" applyBorder="1" applyAlignment="1">
      <alignment horizontal="center"/>
    </xf>
    <xf numFmtId="173" fontId="21" fillId="0" borderId="58" xfId="5" applyNumberFormat="1" applyFont="1" applyBorder="1" applyAlignment="1">
      <alignment horizontal="center"/>
    </xf>
    <xf numFmtId="168" fontId="21" fillId="0" borderId="60" xfId="6" applyFont="1" applyBorder="1" applyAlignment="1">
      <alignment horizontal="right"/>
    </xf>
    <xf numFmtId="0" fontId="23" fillId="0" borderId="0" xfId="7" applyFont="1" applyBorder="1" applyAlignment="1" applyProtection="1">
      <alignment horizontal="center"/>
    </xf>
    <xf numFmtId="17" fontId="21" fillId="0" borderId="60" xfId="5" applyNumberFormat="1" applyFont="1" applyBorder="1" applyAlignment="1">
      <alignment horizontal="center"/>
    </xf>
    <xf numFmtId="16" fontId="21" fillId="0" borderId="60" xfId="5" applyNumberFormat="1" applyFont="1" applyBorder="1" applyAlignment="1">
      <alignment horizontal="center"/>
    </xf>
    <xf numFmtId="168" fontId="24" fillId="0" borderId="60" xfId="6" applyFont="1" applyBorder="1" applyAlignment="1">
      <alignment horizontal="right"/>
    </xf>
    <xf numFmtId="172" fontId="21" fillId="0" borderId="60" xfId="5" applyNumberFormat="1" applyFont="1" applyBorder="1" applyAlignment="1">
      <alignment horizontal="center"/>
    </xf>
    <xf numFmtId="0" fontId="23" fillId="0" borderId="60" xfId="5" applyFont="1" applyBorder="1"/>
    <xf numFmtId="172" fontId="21" fillId="0" borderId="60" xfId="5" applyNumberFormat="1" applyFont="1" applyBorder="1"/>
    <xf numFmtId="173" fontId="21" fillId="0" borderId="60" xfId="5" applyNumberFormat="1" applyFont="1" applyBorder="1"/>
    <xf numFmtId="168" fontId="21" fillId="0" borderId="34" xfId="6" applyFont="1" applyBorder="1" applyProtection="1"/>
    <xf numFmtId="2" fontId="21" fillId="0" borderId="62" xfId="5" applyNumberFormat="1" applyFont="1" applyBorder="1" applyAlignment="1" applyProtection="1">
      <alignment vertical="top"/>
      <protection locked="0"/>
    </xf>
    <xf numFmtId="2" fontId="21" fillId="0" borderId="63" xfId="5" applyNumberFormat="1" applyFont="1" applyBorder="1" applyAlignment="1" applyProtection="1">
      <alignment vertical="top"/>
      <protection locked="0"/>
    </xf>
    <xf numFmtId="2" fontId="21" fillId="0" borderId="57" xfId="5" applyNumberFormat="1" applyFont="1" applyBorder="1" applyAlignment="1" applyProtection="1">
      <alignment vertical="top"/>
      <protection locked="0"/>
    </xf>
    <xf numFmtId="2" fontId="21" fillId="0" borderId="54" xfId="5" applyNumberFormat="1" applyFont="1" applyBorder="1" applyAlignment="1" applyProtection="1">
      <alignment vertical="top"/>
      <protection locked="0"/>
    </xf>
    <xf numFmtId="2" fontId="21" fillId="0" borderId="0" xfId="5" applyNumberFormat="1" applyFont="1" applyBorder="1" applyAlignment="1" applyProtection="1">
      <alignment vertical="top"/>
      <protection locked="0"/>
    </xf>
    <xf numFmtId="2" fontId="21" fillId="0" borderId="55" xfId="5" applyNumberFormat="1" applyFont="1" applyBorder="1" applyAlignment="1" applyProtection="1">
      <alignment vertical="top"/>
      <protection locked="0"/>
    </xf>
    <xf numFmtId="0" fontId="21" fillId="0" borderId="51" xfId="5" applyFont="1" applyBorder="1"/>
    <xf numFmtId="168" fontId="24" fillId="0" borderId="52" xfId="6" applyFont="1" applyBorder="1" applyProtection="1">
      <protection locked="0"/>
    </xf>
    <xf numFmtId="0" fontId="21" fillId="0" borderId="52" xfId="5" applyFont="1" applyBorder="1"/>
    <xf numFmtId="168" fontId="23" fillId="0" borderId="53" xfId="6" applyFont="1" applyBorder="1" applyProtection="1">
      <protection locked="0"/>
    </xf>
    <xf numFmtId="0" fontId="21" fillId="0" borderId="34" xfId="7" applyFont="1" applyBorder="1" applyAlignment="1" applyProtection="1">
      <alignment horizontal="left"/>
    </xf>
    <xf numFmtId="0" fontId="21" fillId="0" borderId="34" xfId="7" applyFont="1" applyBorder="1" applyAlignment="1" applyProtection="1">
      <alignment horizontal="right"/>
    </xf>
    <xf numFmtId="174" fontId="23" fillId="0" borderId="0" xfId="5" applyNumberFormat="1" applyFont="1" applyBorder="1"/>
    <xf numFmtId="0" fontId="21" fillId="0" borderId="0" xfId="7" applyFont="1" applyBorder="1" applyAlignment="1" applyProtection="1">
      <alignment horizontal="center"/>
    </xf>
    <xf numFmtId="175" fontId="21" fillId="0" borderId="0" xfId="7" applyNumberFormat="1" applyFont="1" applyBorder="1" applyProtection="1"/>
    <xf numFmtId="43" fontId="21" fillId="0" borderId="0" xfId="5" applyNumberFormat="1" applyFont="1" applyBorder="1"/>
    <xf numFmtId="176" fontId="21" fillId="0" borderId="34" xfId="7" applyNumberFormat="1" applyFont="1" applyBorder="1" applyProtection="1"/>
    <xf numFmtId="0" fontId="23" fillId="0" borderId="60" xfId="7" applyFont="1" applyBorder="1" applyAlignment="1" applyProtection="1">
      <alignment horizontal="center"/>
    </xf>
    <xf numFmtId="168" fontId="23" fillId="0" borderId="60" xfId="6" applyFont="1" applyBorder="1" applyProtection="1"/>
    <xf numFmtId="2" fontId="21" fillId="0" borderId="64" xfId="5" applyNumberFormat="1" applyFont="1" applyBorder="1" applyAlignment="1" applyProtection="1">
      <alignment vertical="top"/>
      <protection locked="0"/>
    </xf>
    <xf numFmtId="2" fontId="21" fillId="0" borderId="65" xfId="5" applyNumberFormat="1" applyFont="1" applyBorder="1" applyAlignment="1" applyProtection="1">
      <alignment vertical="top"/>
      <protection locked="0"/>
    </xf>
    <xf numFmtId="2" fontId="21" fillId="0" borderId="59" xfId="5" applyNumberFormat="1" applyFont="1" applyBorder="1" applyAlignment="1" applyProtection="1">
      <alignment vertical="top"/>
      <protection locked="0"/>
    </xf>
    <xf numFmtId="0" fontId="21" fillId="0" borderId="62" xfId="5" applyFont="1" applyBorder="1" applyProtection="1">
      <protection locked="0"/>
    </xf>
    <xf numFmtId="0" fontId="21" fillId="0" borderId="63" xfId="5" applyFont="1" applyBorder="1" applyProtection="1">
      <protection locked="0"/>
    </xf>
    <xf numFmtId="0" fontId="21" fillId="0" borderId="57" xfId="5" applyFont="1" applyBorder="1" applyProtection="1">
      <protection locked="0"/>
    </xf>
    <xf numFmtId="0" fontId="23" fillId="0" borderId="0" xfId="7" applyFont="1" applyBorder="1"/>
    <xf numFmtId="0" fontId="21" fillId="0" borderId="17" xfId="7" applyFont="1" applyBorder="1"/>
    <xf numFmtId="0" fontId="21" fillId="0" borderId="18" xfId="7" applyFont="1" applyBorder="1" applyProtection="1"/>
    <xf numFmtId="0" fontId="21" fillId="0" borderId="18" xfId="7" applyFont="1" applyBorder="1"/>
    <xf numFmtId="0" fontId="21" fillId="0" borderId="19" xfId="7" applyFont="1" applyBorder="1"/>
    <xf numFmtId="0" fontId="21" fillId="0" borderId="54" xfId="5" applyFont="1" applyBorder="1" applyProtection="1">
      <protection locked="0"/>
    </xf>
    <xf numFmtId="0" fontId="21" fillId="0" borderId="17" xfId="7" applyFont="1" applyBorder="1" applyProtection="1"/>
    <xf numFmtId="0" fontId="21" fillId="0" borderId="19" xfId="7" applyFont="1" applyBorder="1" applyAlignment="1" applyProtection="1">
      <alignment horizontal="center"/>
    </xf>
    <xf numFmtId="0" fontId="23" fillId="0" borderId="54" xfId="5" applyFont="1" applyBorder="1"/>
    <xf numFmtId="0" fontId="21" fillId="0" borderId="65" xfId="5" applyFont="1" applyBorder="1"/>
    <xf numFmtId="0" fontId="21" fillId="0" borderId="20" xfId="7" applyFont="1" applyBorder="1"/>
    <xf numFmtId="0" fontId="21" fillId="0" borderId="21" xfId="7" applyFont="1" applyBorder="1" applyAlignment="1" applyProtection="1">
      <alignment horizontal="center"/>
    </xf>
    <xf numFmtId="0" fontId="21" fillId="0" borderId="63" xfId="5" applyFont="1" applyBorder="1"/>
    <xf numFmtId="2" fontId="23" fillId="0" borderId="63" xfId="5" applyNumberFormat="1" applyFont="1" applyBorder="1" applyAlignment="1">
      <alignment horizontal="right"/>
    </xf>
    <xf numFmtId="0" fontId="21" fillId="0" borderId="20" xfId="7" applyFont="1" applyBorder="1" applyProtection="1"/>
    <xf numFmtId="0" fontId="23" fillId="0" borderId="54" xfId="5" applyFont="1" applyBorder="1" applyAlignment="1">
      <alignment horizontal="left"/>
    </xf>
    <xf numFmtId="0" fontId="23" fillId="0" borderId="0" xfId="5" applyFont="1" applyBorder="1" applyAlignment="1">
      <alignment horizontal="center"/>
    </xf>
    <xf numFmtId="2" fontId="23" fillId="0" borderId="52" xfId="5" applyNumberFormat="1" applyFont="1" applyBorder="1" applyAlignment="1">
      <alignment horizontal="right"/>
    </xf>
    <xf numFmtId="0" fontId="21" fillId="0" borderId="21" xfId="7" applyFont="1" applyBorder="1"/>
    <xf numFmtId="0" fontId="23" fillId="0" borderId="62" xfId="5" applyFont="1" applyBorder="1" applyAlignment="1">
      <alignment horizontal="left"/>
    </xf>
    <xf numFmtId="0" fontId="23" fillId="0" borderId="56" xfId="5" applyFont="1" applyBorder="1" applyAlignment="1">
      <alignment horizontal="center"/>
    </xf>
    <xf numFmtId="0" fontId="23" fillId="0" borderId="51" xfId="5" applyFont="1" applyBorder="1" applyAlignment="1">
      <alignment horizontal="left"/>
    </xf>
    <xf numFmtId="0" fontId="23" fillId="0" borderId="60" xfId="5" applyFont="1" applyBorder="1" applyAlignment="1">
      <alignment horizontal="center"/>
    </xf>
    <xf numFmtId="0" fontId="21" fillId="0" borderId="64" xfId="5" applyFont="1" applyBorder="1"/>
    <xf numFmtId="174" fontId="23" fillId="0" borderId="65" xfId="5" applyNumberFormat="1" applyFont="1" applyBorder="1" applyAlignment="1">
      <alignment horizontal="right"/>
    </xf>
    <xf numFmtId="0" fontId="21" fillId="0" borderId="64" xfId="5" applyFont="1" applyBorder="1" applyProtection="1">
      <protection locked="0"/>
    </xf>
    <xf numFmtId="0" fontId="21" fillId="0" borderId="65" xfId="5" applyFont="1" applyBorder="1" applyProtection="1">
      <protection locked="0"/>
    </xf>
    <xf numFmtId="0" fontId="21" fillId="0" borderId="59" xfId="5" applyFont="1" applyBorder="1" applyProtection="1">
      <protection locked="0"/>
    </xf>
    <xf numFmtId="0" fontId="21" fillId="0" borderId="20" xfId="7" applyFont="1" applyBorder="1" applyAlignment="1">
      <alignment horizontal="center"/>
    </xf>
    <xf numFmtId="0" fontId="21" fillId="0" borderId="0" xfId="7" applyFont="1" applyBorder="1" applyAlignment="1">
      <alignment horizontal="center"/>
    </xf>
    <xf numFmtId="0" fontId="21" fillId="0" borderId="21" xfId="7" applyFont="1" applyBorder="1" applyAlignment="1">
      <alignment horizontal="center"/>
    </xf>
    <xf numFmtId="0" fontId="21" fillId="0" borderId="21" xfId="5" applyFont="1" applyBorder="1" applyAlignment="1">
      <alignment horizontal="center"/>
    </xf>
    <xf numFmtId="0" fontId="21" fillId="0" borderId="22" xfId="7" applyFont="1" applyBorder="1" applyAlignment="1">
      <alignment horizontal="center"/>
    </xf>
    <xf numFmtId="0" fontId="21" fillId="0" borderId="13" xfId="7" applyFont="1" applyBorder="1" applyAlignment="1">
      <alignment horizontal="center"/>
    </xf>
    <xf numFmtId="0" fontId="21" fillId="0" borderId="23" xfId="5" applyFont="1" applyBorder="1" applyAlignment="1">
      <alignment horizontal="center"/>
    </xf>
    <xf numFmtId="177" fontId="21" fillId="0" borderId="0" xfId="5" applyNumberFormat="1" applyFont="1" applyBorder="1"/>
    <xf numFmtId="0" fontId="21" fillId="0" borderId="0" xfId="5" applyFont="1" applyBorder="1" applyAlignment="1">
      <alignment horizontal="center"/>
    </xf>
    <xf numFmtId="174" fontId="21" fillId="0" borderId="0" xfId="5" applyNumberFormat="1" applyFont="1" applyBorder="1"/>
    <xf numFmtId="2" fontId="21" fillId="0" borderId="0" xfId="5" applyNumberFormat="1" applyFont="1" applyBorder="1" applyAlignment="1"/>
    <xf numFmtId="172" fontId="24" fillId="0" borderId="58" xfId="5" applyNumberFormat="1" applyFont="1" applyBorder="1" applyAlignment="1">
      <alignment horizontal="center"/>
    </xf>
    <xf numFmtId="168" fontId="23" fillId="0" borderId="52" xfId="6" applyFont="1" applyBorder="1" applyProtection="1">
      <protection locked="0"/>
    </xf>
    <xf numFmtId="169" fontId="21" fillId="0" borderId="60" xfId="8" applyNumberFormat="1" applyFont="1" applyBorder="1" applyAlignment="1">
      <alignment horizontal="center"/>
    </xf>
    <xf numFmtId="168" fontId="21" fillId="0" borderId="60" xfId="8" applyNumberFormat="1" applyFont="1" applyBorder="1" applyAlignment="1">
      <alignment horizontal="center"/>
    </xf>
    <xf numFmtId="168" fontId="21" fillId="0" borderId="60" xfId="6" applyNumberFormat="1" applyFont="1" applyBorder="1" applyAlignment="1">
      <alignment horizontal="center"/>
    </xf>
    <xf numFmtId="168" fontId="21" fillId="0" borderId="61" xfId="6" applyNumberFormat="1" applyFont="1" applyBorder="1" applyAlignment="1">
      <alignment horizontal="center"/>
    </xf>
    <xf numFmtId="168" fontId="21" fillId="0" borderId="58" xfId="5" applyNumberFormat="1" applyFont="1" applyBorder="1" applyAlignment="1">
      <alignment horizontal="center"/>
    </xf>
    <xf numFmtId="168" fontId="21" fillId="0" borderId="60" xfId="6" applyNumberFormat="1" applyFont="1" applyBorder="1" applyAlignment="1">
      <alignment horizontal="right"/>
    </xf>
    <xf numFmtId="0" fontId="2" fillId="6" borderId="1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168" fontId="9" fillId="0" borderId="43" xfId="0" applyNumberFormat="1" applyFont="1" applyBorder="1" applyAlignment="1">
      <alignment horizontal="center"/>
    </xf>
    <xf numFmtId="169" fontId="9" fillId="0" borderId="17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9" fontId="9" fillId="0" borderId="18" xfId="0" applyNumberFormat="1" applyFont="1" applyBorder="1" applyAlignment="1">
      <alignment horizontal="center"/>
    </xf>
    <xf numFmtId="169" fontId="9" fillId="0" borderId="20" xfId="0" applyNumberFormat="1" applyFont="1" applyBorder="1"/>
    <xf numFmtId="0" fontId="9" fillId="0" borderId="20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168" fontId="9" fillId="0" borderId="14" xfId="0" applyNumberFormat="1" applyFont="1" applyBorder="1" applyAlignment="1">
      <alignment horizontal="center"/>
    </xf>
    <xf numFmtId="168" fontId="9" fillId="0" borderId="16" xfId="0" applyNumberFormat="1" applyFont="1" applyBorder="1" applyAlignment="1">
      <alignment horizontal="center"/>
    </xf>
    <xf numFmtId="169" fontId="9" fillId="0" borderId="22" xfId="0" applyNumberFormat="1" applyFont="1" applyBorder="1"/>
    <xf numFmtId="168" fontId="9" fillId="0" borderId="23" xfId="0" applyNumberFormat="1" applyFont="1" applyBorder="1" applyAlignment="1">
      <alignment horizontal="center"/>
    </xf>
    <xf numFmtId="168" fontId="9" fillId="0" borderId="21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 wrapText="1" shrinkToFit="1"/>
    </xf>
    <xf numFmtId="0" fontId="15" fillId="5" borderId="10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 wrapText="1" shrinkToFit="1"/>
    </xf>
    <xf numFmtId="0" fontId="15" fillId="5" borderId="0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 shrinkToFit="1"/>
    </xf>
    <xf numFmtId="0" fontId="15" fillId="5" borderId="5" xfId="0" applyFont="1" applyFill="1" applyBorder="1" applyAlignment="1">
      <alignment horizontal="center"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15" fillId="5" borderId="4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5" fillId="5" borderId="5" xfId="0" applyNumberFormat="1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9" fillId="0" borderId="51" xfId="4" applyFont="1" applyFill="1" applyBorder="1" applyAlignment="1" applyProtection="1">
      <alignment horizontal="center" vertical="center"/>
      <protection hidden="1"/>
    </xf>
    <xf numFmtId="0" fontId="19" fillId="0" borderId="52" xfId="4" applyFont="1" applyFill="1" applyBorder="1" applyAlignment="1" applyProtection="1">
      <alignment horizontal="center" vertical="center"/>
      <protection hidden="1"/>
    </xf>
    <xf numFmtId="0" fontId="19" fillId="0" borderId="53" xfId="4" applyFont="1" applyFill="1" applyBorder="1" applyAlignment="1" applyProtection="1">
      <alignment horizontal="center" vertical="center"/>
      <protection hidden="1"/>
    </xf>
    <xf numFmtId="0" fontId="22" fillId="0" borderId="51" xfId="4" applyFont="1" applyFill="1" applyBorder="1" applyAlignment="1" applyProtection="1">
      <alignment horizontal="center" vertical="center"/>
      <protection hidden="1"/>
    </xf>
    <xf numFmtId="0" fontId="22" fillId="0" borderId="52" xfId="4" applyFont="1" applyFill="1" applyBorder="1" applyAlignment="1" applyProtection="1">
      <alignment horizontal="center" vertical="center"/>
      <protection hidden="1"/>
    </xf>
    <xf numFmtId="0" fontId="22" fillId="0" borderId="53" xfId="4" applyFont="1" applyFill="1" applyBorder="1" applyAlignment="1" applyProtection="1">
      <alignment horizontal="center" vertical="center"/>
      <protection hidden="1"/>
    </xf>
    <xf numFmtId="0" fontId="23" fillId="0" borderId="0" xfId="5" applyFont="1" applyBorder="1" applyAlignment="1">
      <alignment horizontal="center"/>
    </xf>
    <xf numFmtId="0" fontId="21" fillId="0" borderId="56" xfId="5" applyFont="1" applyBorder="1" applyAlignment="1">
      <alignment horizontal="center" vertical="center"/>
    </xf>
    <xf numFmtId="0" fontId="27" fillId="0" borderId="58" xfId="7" applyFont="1" applyBorder="1" applyAlignment="1">
      <alignment horizontal="center" vertical="center"/>
    </xf>
    <xf numFmtId="0" fontId="23" fillId="0" borderId="54" xfId="5" applyFont="1" applyBorder="1" applyAlignment="1" applyProtection="1">
      <alignment horizontal="center"/>
      <protection locked="0"/>
    </xf>
    <xf numFmtId="0" fontId="23" fillId="0" borderId="0" xfId="5" applyFont="1" applyBorder="1" applyAlignment="1" applyProtection="1">
      <alignment horizontal="center"/>
      <protection locked="0"/>
    </xf>
  </cellXfs>
  <cellStyles count="9">
    <cellStyle name="Millares 2" xfId="8"/>
    <cellStyle name="Millares 3" xfId="2"/>
    <cellStyle name="Millares_ENSAYO DE LIMITES MPC Laboratorio" xfId="6"/>
    <cellStyle name="Normal" xfId="0" builtinId="0"/>
    <cellStyle name="Normal 2 2" xfId="1"/>
    <cellStyle name="Normal 3 2" xfId="3"/>
    <cellStyle name="Normal_ENSAYO DE LIMITES MPC Laboratorio" xfId="7"/>
    <cellStyle name="Normal_Inf05.gra" xfId="4"/>
    <cellStyle name="Normal_limites urb.hnos.guerrero" xfId="5"/>
  </cellStyles>
  <dxfs count="0"/>
  <tableStyles count="0" defaultTableStyle="TableStyleMedium2" defaultPivotStyle="PivotStyleLight16"/>
  <colors>
    <mruColors>
      <color rgb="FFEBE6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28575</xdr:rowOff>
    </xdr:from>
    <xdr:to>
      <xdr:col>3</xdr:col>
      <xdr:colOff>504825</xdr:colOff>
      <xdr:row>0</xdr:row>
      <xdr:rowOff>238125</xdr:rowOff>
    </xdr:to>
    <xdr:sp macro="" textlink="">
      <xdr:nvSpPr>
        <xdr:cNvPr id="2" name="Texto 32"/>
        <xdr:cNvSpPr txBox="1">
          <a:spLocks noChangeArrowheads="1"/>
        </xdr:cNvSpPr>
      </xdr:nvSpPr>
      <xdr:spPr bwMode="auto">
        <a:xfrm>
          <a:off x="2581275" y="28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66675</xdr:rowOff>
    </xdr:from>
    <xdr:to>
      <xdr:col>2</xdr:col>
      <xdr:colOff>190500</xdr:colOff>
      <xdr:row>0</xdr:row>
      <xdr:rowOff>666750</xdr:rowOff>
    </xdr:to>
    <xdr:pic>
      <xdr:nvPicPr>
        <xdr:cNvPr id="3" name="2 Imagen" descr="mp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800100</xdr:colOff>
      <xdr:row>0</xdr:row>
      <xdr:rowOff>85725</xdr:rowOff>
    </xdr:from>
    <xdr:to>
      <xdr:col>14</xdr:col>
      <xdr:colOff>800100</xdr:colOff>
      <xdr:row>1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9163050" y="85725"/>
          <a:ext cx="3695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3399"/>
              </a:solidFill>
              <a:latin typeface="Calibri"/>
            </a:rPr>
            <a:t>PORTOVIEJO</a:t>
          </a:r>
          <a:r>
            <a:rPr lang="en-US" sz="1000" b="0" i="0" u="none" strike="noStrike" baseline="0">
              <a:solidFill>
                <a:srgbClr val="333399"/>
              </a:solidFill>
              <a:latin typeface="Calibri"/>
            </a:rPr>
            <a:t>: Av. Manabí y Granda Centeno, Edificio Plaza de Marzo. Telefax:  05 265 33 14. email: laboratorio@mpcconstrucciones.com </a:t>
          </a:r>
        </a:p>
      </xdr:txBody>
    </xdr:sp>
    <xdr:clientData/>
  </xdr:twoCellAnchor>
  <xdr:twoCellAnchor>
    <xdr:from>
      <xdr:col>2</xdr:col>
      <xdr:colOff>306916</xdr:colOff>
      <xdr:row>0</xdr:row>
      <xdr:rowOff>52918</xdr:rowOff>
    </xdr:from>
    <xdr:to>
      <xdr:col>10</xdr:col>
      <xdr:colOff>698500</xdr:colOff>
      <xdr:row>0</xdr:row>
      <xdr:rowOff>666750</xdr:rowOff>
    </xdr:to>
    <xdr:sp macro="" textlink="">
      <xdr:nvSpPr>
        <xdr:cNvPr id="5" name="4 CuadroTexto"/>
        <xdr:cNvSpPr txBox="1"/>
      </xdr:nvSpPr>
      <xdr:spPr>
        <a:xfrm>
          <a:off x="1507066" y="52918"/>
          <a:ext cx="7554384" cy="613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C" sz="1600" b="1" i="0">
              <a:solidFill>
                <a:schemeClr val="accent1">
                  <a:lumMod val="75000"/>
                </a:schemeClr>
              </a:solidFill>
            </a:rPr>
            <a:t>MARCO</a:t>
          </a:r>
          <a:r>
            <a:rPr lang="es-EC" sz="1600" b="1" i="0" baseline="0">
              <a:solidFill>
                <a:schemeClr val="accent1">
                  <a:lumMod val="75000"/>
                </a:schemeClr>
              </a:solidFill>
            </a:rPr>
            <a:t> PEÑAHERRERA CORONEL  - CONSULTORIA</a:t>
          </a:r>
        </a:p>
        <a:p>
          <a:pPr algn="l"/>
          <a:r>
            <a:rPr lang="es-EC" sz="1050" b="1" i="1" baseline="0">
              <a:solidFill>
                <a:schemeClr val="accent1">
                  <a:lumMod val="75000"/>
                </a:schemeClr>
              </a:solidFill>
            </a:rPr>
            <a:t>MPC CONSTRUCCIONES E INGENIERIA</a:t>
          </a:r>
        </a:p>
        <a:p>
          <a:pPr algn="l"/>
          <a:r>
            <a:rPr lang="es-EC" sz="1000" baseline="0">
              <a:solidFill>
                <a:schemeClr val="accent1">
                  <a:lumMod val="75000"/>
                </a:schemeClr>
              </a:solidFill>
            </a:rPr>
            <a:t>www. mpcconstrucciones.com</a:t>
          </a:r>
          <a:endParaRPr lang="es-EC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323850</xdr:colOff>
      <xdr:row>31</xdr:row>
      <xdr:rowOff>0</xdr:rowOff>
    </xdr:from>
    <xdr:to>
      <xdr:col>7</xdr:col>
      <xdr:colOff>238125</xdr:colOff>
      <xdr:row>47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086350"/>
          <a:ext cx="37242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28575</xdr:rowOff>
    </xdr:from>
    <xdr:to>
      <xdr:col>2</xdr:col>
      <xdr:colOff>514350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00025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28</xdr:row>
      <xdr:rowOff>19050</xdr:rowOff>
    </xdr:from>
    <xdr:to>
      <xdr:col>2</xdr:col>
      <xdr:colOff>1114425</xdr:colOff>
      <xdr:row>30</xdr:row>
      <xdr:rowOff>9525</xdr:rowOff>
    </xdr:to>
    <xdr:sp macro="" textlink="">
      <xdr:nvSpPr>
        <xdr:cNvPr id="2" name="2 Rectángulo"/>
        <xdr:cNvSpPr/>
      </xdr:nvSpPr>
      <xdr:spPr>
        <a:xfrm>
          <a:off x="1847849" y="4657725"/>
          <a:ext cx="933451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2</xdr:col>
      <xdr:colOff>561975</xdr:colOff>
      <xdr:row>20</xdr:row>
      <xdr:rowOff>104775</xdr:rowOff>
    </xdr:from>
    <xdr:to>
      <xdr:col>2</xdr:col>
      <xdr:colOff>800100</xdr:colOff>
      <xdr:row>28</xdr:row>
      <xdr:rowOff>9525</xdr:rowOff>
    </xdr:to>
    <xdr:sp macro="" textlink="">
      <xdr:nvSpPr>
        <xdr:cNvPr id="3" name="3 Rectángulo"/>
        <xdr:cNvSpPr/>
      </xdr:nvSpPr>
      <xdr:spPr>
        <a:xfrm>
          <a:off x="2228850" y="3448050"/>
          <a:ext cx="238125" cy="1200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 editAs="oneCell">
    <xdr:from>
      <xdr:col>1</xdr:col>
      <xdr:colOff>104775</xdr:colOff>
      <xdr:row>1</xdr:row>
      <xdr:rowOff>38100</xdr:rowOff>
    </xdr:from>
    <xdr:to>
      <xdr:col>1</xdr:col>
      <xdr:colOff>1200150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1095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</xdr:row>
      <xdr:rowOff>38100</xdr:rowOff>
    </xdr:from>
    <xdr:to>
      <xdr:col>1</xdr:col>
      <xdr:colOff>1200150</xdr:colOff>
      <xdr:row>4</xdr:row>
      <xdr:rowOff>104775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1095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</xdr:row>
      <xdr:rowOff>38100</xdr:rowOff>
    </xdr:from>
    <xdr:to>
      <xdr:col>1</xdr:col>
      <xdr:colOff>1200150</xdr:colOff>
      <xdr:row>4</xdr:row>
      <xdr:rowOff>104775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"/>
          <a:ext cx="1095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28575</xdr:rowOff>
    </xdr:from>
    <xdr:to>
      <xdr:col>2</xdr:col>
      <xdr:colOff>514350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00025"/>
          <a:ext cx="1095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638175</xdr:colOff>
      <xdr:row>32</xdr:row>
      <xdr:rowOff>28575</xdr:rowOff>
    </xdr:from>
    <xdr:to>
      <xdr:col>2</xdr:col>
      <xdr:colOff>733425</xdr:colOff>
      <xdr:row>32</xdr:row>
      <xdr:rowOff>142875</xdr:rowOff>
    </xdr:to>
    <xdr:sp macro="" textlink="">
      <xdr:nvSpPr>
        <xdr:cNvPr id="3" name="Elipse 2"/>
        <xdr:cNvSpPr/>
      </xdr:nvSpPr>
      <xdr:spPr>
        <a:xfrm>
          <a:off x="2200275" y="5314950"/>
          <a:ext cx="9525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4</xdr:col>
      <xdr:colOff>114300</xdr:colOff>
      <xdr:row>42</xdr:row>
      <xdr:rowOff>9525</xdr:rowOff>
    </xdr:from>
    <xdr:to>
      <xdr:col>4</xdr:col>
      <xdr:colOff>209550</xdr:colOff>
      <xdr:row>42</xdr:row>
      <xdr:rowOff>123825</xdr:rowOff>
    </xdr:to>
    <xdr:sp macro="" textlink="">
      <xdr:nvSpPr>
        <xdr:cNvPr id="4" name="Elipse 3"/>
        <xdr:cNvSpPr/>
      </xdr:nvSpPr>
      <xdr:spPr>
        <a:xfrm>
          <a:off x="3200400" y="6915150"/>
          <a:ext cx="9525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104775</xdr:colOff>
      <xdr:row>45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5" name="Flecha arriba 4"/>
        <xdr:cNvSpPr/>
      </xdr:nvSpPr>
      <xdr:spPr>
        <a:xfrm>
          <a:off x="4714875" y="7458075"/>
          <a:ext cx="438150" cy="16192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685800</xdr:colOff>
      <xdr:row>50</xdr:row>
      <xdr:rowOff>76200</xdr:rowOff>
    </xdr:from>
    <xdr:to>
      <xdr:col>9</xdr:col>
      <xdr:colOff>504825</xdr:colOff>
      <xdr:row>50</xdr:row>
      <xdr:rowOff>85725</xdr:rowOff>
    </xdr:to>
    <xdr:cxnSp macro="">
      <xdr:nvCxnSpPr>
        <xdr:cNvPr id="7" name="Conector recto de flecha 6"/>
        <xdr:cNvCxnSpPr/>
      </xdr:nvCxnSpPr>
      <xdr:spPr>
        <a:xfrm>
          <a:off x="6591300" y="8277225"/>
          <a:ext cx="5810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37</xdr:row>
      <xdr:rowOff>123825</xdr:rowOff>
    </xdr:from>
    <xdr:to>
      <xdr:col>5</xdr:col>
      <xdr:colOff>866775</xdr:colOff>
      <xdr:row>37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52575" y="62769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37</xdr:row>
      <xdr:rowOff>123825</xdr:rowOff>
    </xdr:from>
    <xdr:to>
      <xdr:col>16</xdr:col>
      <xdr:colOff>9525</xdr:colOff>
      <xdr:row>37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05275" y="62769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57150</xdr:rowOff>
    </xdr:from>
    <xdr:to>
      <xdr:col>7</xdr:col>
      <xdr:colOff>219075</xdr:colOff>
      <xdr:row>6</xdr:row>
      <xdr:rowOff>38100</xdr:rowOff>
    </xdr:to>
    <xdr:pic>
      <xdr:nvPicPr>
        <xdr:cNvPr id="4" name="Picture 3" descr="MPCLAB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52450"/>
          <a:ext cx="3257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95250</xdr:colOff>
      <xdr:row>22</xdr:row>
      <xdr:rowOff>0</xdr:rowOff>
    </xdr:from>
    <xdr:to>
      <xdr:col>26</xdr:col>
      <xdr:colOff>95250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91540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14</xdr:row>
      <xdr:rowOff>1588</xdr:rowOff>
    </xdr:from>
    <xdr:to>
      <xdr:col>6</xdr:col>
      <xdr:colOff>447675</xdr:colOff>
      <xdr:row>14</xdr:row>
      <xdr:rowOff>11113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265363" y="2382838"/>
          <a:ext cx="14763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21</xdr:row>
      <xdr:rowOff>28575</xdr:rowOff>
    </xdr:from>
    <xdr:to>
      <xdr:col>28</xdr:col>
      <xdr:colOff>85725</xdr:colOff>
      <xdr:row>21</xdr:row>
      <xdr:rowOff>28575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229725" y="35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119062</xdr:colOff>
      <xdr:row>16</xdr:row>
      <xdr:rowOff>142875</xdr:rowOff>
    </xdr:from>
    <xdr:to>
      <xdr:col>24</xdr:col>
      <xdr:colOff>166687</xdr:colOff>
      <xdr:row>20</xdr:row>
      <xdr:rowOff>7938</xdr:rowOff>
    </xdr:to>
    <xdr:cxnSp macro="">
      <xdr:nvCxnSpPr>
        <xdr:cNvPr id="8" name="Conector recto 7"/>
        <xdr:cNvCxnSpPr/>
      </xdr:nvCxnSpPr>
      <xdr:spPr>
        <a:xfrm>
          <a:off x="8605837" y="2867025"/>
          <a:ext cx="47625" cy="512763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158750</xdr:colOff>
      <xdr:row>20</xdr:row>
      <xdr:rowOff>7938</xdr:rowOff>
    </xdr:from>
    <xdr:to>
      <xdr:col>25</xdr:col>
      <xdr:colOff>47625</xdr:colOff>
      <xdr:row>23</xdr:row>
      <xdr:rowOff>7938</xdr:rowOff>
    </xdr:to>
    <xdr:cxnSp macro="">
      <xdr:nvCxnSpPr>
        <xdr:cNvPr id="9" name="Conector recto 8"/>
        <xdr:cNvCxnSpPr/>
      </xdr:nvCxnSpPr>
      <xdr:spPr>
        <a:xfrm>
          <a:off x="8645525" y="3379788"/>
          <a:ext cx="60325" cy="485775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39687</xdr:colOff>
      <xdr:row>22</xdr:row>
      <xdr:rowOff>150813</xdr:rowOff>
    </xdr:from>
    <xdr:to>
      <xdr:col>25</xdr:col>
      <xdr:colOff>55562</xdr:colOff>
      <xdr:row>26</xdr:row>
      <xdr:rowOff>0</xdr:rowOff>
    </xdr:to>
    <xdr:cxnSp macro="">
      <xdr:nvCxnSpPr>
        <xdr:cNvPr id="10" name="Conector recto 9"/>
        <xdr:cNvCxnSpPr/>
      </xdr:nvCxnSpPr>
      <xdr:spPr>
        <a:xfrm>
          <a:off x="8697912" y="3846513"/>
          <a:ext cx="15875" cy="496887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127000</xdr:colOff>
      <xdr:row>16</xdr:row>
      <xdr:rowOff>142875</xdr:rowOff>
    </xdr:from>
    <xdr:to>
      <xdr:col>26</xdr:col>
      <xdr:colOff>150812</xdr:colOff>
      <xdr:row>20</xdr:row>
      <xdr:rowOff>15875</xdr:rowOff>
    </xdr:to>
    <xdr:cxnSp macro="">
      <xdr:nvCxnSpPr>
        <xdr:cNvPr id="11" name="Conector recto 10"/>
        <xdr:cNvCxnSpPr/>
      </xdr:nvCxnSpPr>
      <xdr:spPr>
        <a:xfrm>
          <a:off x="8947150" y="2867025"/>
          <a:ext cx="23812" cy="520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119062</xdr:colOff>
      <xdr:row>20</xdr:row>
      <xdr:rowOff>15875</xdr:rowOff>
    </xdr:from>
    <xdr:to>
      <xdr:col>26</xdr:col>
      <xdr:colOff>150812</xdr:colOff>
      <xdr:row>22</xdr:row>
      <xdr:rowOff>150813</xdr:rowOff>
    </xdr:to>
    <xdr:cxnSp macro="">
      <xdr:nvCxnSpPr>
        <xdr:cNvPr id="12" name="Conector recto 11"/>
        <xdr:cNvCxnSpPr/>
      </xdr:nvCxnSpPr>
      <xdr:spPr>
        <a:xfrm flipH="1">
          <a:off x="8939212" y="3387725"/>
          <a:ext cx="31750" cy="458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111125</xdr:colOff>
      <xdr:row>22</xdr:row>
      <xdr:rowOff>142875</xdr:rowOff>
    </xdr:from>
    <xdr:to>
      <xdr:col>27</xdr:col>
      <xdr:colOff>23812</xdr:colOff>
      <xdr:row>26</xdr:row>
      <xdr:rowOff>0</xdr:rowOff>
    </xdr:to>
    <xdr:cxnSp macro="">
      <xdr:nvCxnSpPr>
        <xdr:cNvPr id="13" name="Conector recto 12"/>
        <xdr:cNvCxnSpPr/>
      </xdr:nvCxnSpPr>
      <xdr:spPr>
        <a:xfrm>
          <a:off x="8931275" y="3838575"/>
          <a:ext cx="74612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119062</xdr:colOff>
      <xdr:row>16</xdr:row>
      <xdr:rowOff>150813</xdr:rowOff>
    </xdr:from>
    <xdr:to>
      <xdr:col>23</xdr:col>
      <xdr:colOff>119062</xdr:colOff>
      <xdr:row>20</xdr:row>
      <xdr:rowOff>15875</xdr:rowOff>
    </xdr:to>
    <xdr:cxnSp macro="">
      <xdr:nvCxnSpPr>
        <xdr:cNvPr id="14" name="Conector recto 13"/>
        <xdr:cNvCxnSpPr/>
      </xdr:nvCxnSpPr>
      <xdr:spPr>
        <a:xfrm>
          <a:off x="8443912" y="2874963"/>
          <a:ext cx="0" cy="5127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71437</xdr:colOff>
      <xdr:row>20</xdr:row>
      <xdr:rowOff>0</xdr:rowOff>
    </xdr:from>
    <xdr:to>
      <xdr:col>23</xdr:col>
      <xdr:colOff>119062</xdr:colOff>
      <xdr:row>22</xdr:row>
      <xdr:rowOff>150813</xdr:rowOff>
    </xdr:to>
    <xdr:cxnSp macro="">
      <xdr:nvCxnSpPr>
        <xdr:cNvPr id="15" name="Conector recto 14"/>
        <xdr:cNvCxnSpPr/>
      </xdr:nvCxnSpPr>
      <xdr:spPr>
        <a:xfrm flipH="1">
          <a:off x="8396287" y="3371850"/>
          <a:ext cx="47625" cy="474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71437</xdr:colOff>
      <xdr:row>22</xdr:row>
      <xdr:rowOff>142875</xdr:rowOff>
    </xdr:from>
    <xdr:to>
      <xdr:col>23</xdr:col>
      <xdr:colOff>95250</xdr:colOff>
      <xdr:row>26</xdr:row>
      <xdr:rowOff>7938</xdr:rowOff>
    </xdr:to>
    <xdr:cxnSp macro="">
      <xdr:nvCxnSpPr>
        <xdr:cNvPr id="16" name="Conector recto 15"/>
        <xdr:cNvCxnSpPr/>
      </xdr:nvCxnSpPr>
      <xdr:spPr>
        <a:xfrm>
          <a:off x="8396287" y="3838575"/>
          <a:ext cx="23813" cy="512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37</xdr:row>
      <xdr:rowOff>123825</xdr:rowOff>
    </xdr:from>
    <xdr:to>
      <xdr:col>5</xdr:col>
      <xdr:colOff>866775</xdr:colOff>
      <xdr:row>37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52575" y="62769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37</xdr:row>
      <xdr:rowOff>123825</xdr:rowOff>
    </xdr:from>
    <xdr:to>
      <xdr:col>16</xdr:col>
      <xdr:colOff>9525</xdr:colOff>
      <xdr:row>37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105275" y="62769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57150</xdr:rowOff>
    </xdr:from>
    <xdr:to>
      <xdr:col>7</xdr:col>
      <xdr:colOff>219075</xdr:colOff>
      <xdr:row>6</xdr:row>
      <xdr:rowOff>38100</xdr:rowOff>
    </xdr:to>
    <xdr:pic>
      <xdr:nvPicPr>
        <xdr:cNvPr id="4" name="Picture 3" descr="MPCLAB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52450"/>
          <a:ext cx="3257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95250</xdr:colOff>
      <xdr:row>22</xdr:row>
      <xdr:rowOff>0</xdr:rowOff>
    </xdr:from>
    <xdr:to>
      <xdr:col>26</xdr:col>
      <xdr:colOff>95250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91540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21</xdr:row>
      <xdr:rowOff>28575</xdr:rowOff>
    </xdr:from>
    <xdr:to>
      <xdr:col>28</xdr:col>
      <xdr:colOff>85725</xdr:colOff>
      <xdr:row>21</xdr:row>
      <xdr:rowOff>28575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9229725" y="35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14</xdr:row>
      <xdr:rowOff>9525</xdr:rowOff>
    </xdr:from>
    <xdr:to>
      <xdr:col>6</xdr:col>
      <xdr:colOff>438150</xdr:colOff>
      <xdr:row>14</xdr:row>
      <xdr:rowOff>19050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2257425" y="2409825"/>
          <a:ext cx="14763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22</xdr:row>
      <xdr:rowOff>0</xdr:rowOff>
    </xdr:from>
    <xdr:to>
      <xdr:col>26</xdr:col>
      <xdr:colOff>95250</xdr:colOff>
      <xdr:row>22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891540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21</xdr:row>
      <xdr:rowOff>28575</xdr:rowOff>
    </xdr:from>
    <xdr:to>
      <xdr:col>28</xdr:col>
      <xdr:colOff>85725</xdr:colOff>
      <xdr:row>21</xdr:row>
      <xdr:rowOff>28575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9229725" y="35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14</xdr:row>
      <xdr:rowOff>9525</xdr:rowOff>
    </xdr:from>
    <xdr:to>
      <xdr:col>6</xdr:col>
      <xdr:colOff>438150</xdr:colOff>
      <xdr:row>14</xdr:row>
      <xdr:rowOff>19050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V="1">
          <a:off x="2257425" y="2409825"/>
          <a:ext cx="14763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127000</xdr:colOff>
      <xdr:row>16</xdr:row>
      <xdr:rowOff>150813</xdr:rowOff>
    </xdr:from>
    <xdr:to>
      <xdr:col>25</xdr:col>
      <xdr:colOff>31750</xdr:colOff>
      <xdr:row>20</xdr:row>
      <xdr:rowOff>7938</xdr:rowOff>
    </xdr:to>
    <xdr:cxnSp macro="">
      <xdr:nvCxnSpPr>
        <xdr:cNvPr id="11" name="Conector recto 10"/>
        <xdr:cNvCxnSpPr/>
      </xdr:nvCxnSpPr>
      <xdr:spPr>
        <a:xfrm>
          <a:off x="8613775" y="2874963"/>
          <a:ext cx="76200" cy="504825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</xdr:colOff>
      <xdr:row>20</xdr:row>
      <xdr:rowOff>0</xdr:rowOff>
    </xdr:from>
    <xdr:to>
      <xdr:col>25</xdr:col>
      <xdr:colOff>47625</xdr:colOff>
      <xdr:row>23</xdr:row>
      <xdr:rowOff>15875</xdr:rowOff>
    </xdr:to>
    <xdr:cxnSp macro="">
      <xdr:nvCxnSpPr>
        <xdr:cNvPr id="12" name="Conector recto 11"/>
        <xdr:cNvCxnSpPr/>
      </xdr:nvCxnSpPr>
      <xdr:spPr>
        <a:xfrm>
          <a:off x="8689975" y="3371850"/>
          <a:ext cx="15875" cy="50165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23</xdr:row>
      <xdr:rowOff>7938</xdr:rowOff>
    </xdr:from>
    <xdr:to>
      <xdr:col>25</xdr:col>
      <xdr:colOff>55562</xdr:colOff>
      <xdr:row>26</xdr:row>
      <xdr:rowOff>7938</xdr:rowOff>
    </xdr:to>
    <xdr:cxnSp macro="">
      <xdr:nvCxnSpPr>
        <xdr:cNvPr id="13" name="Conector recto 12"/>
        <xdr:cNvCxnSpPr/>
      </xdr:nvCxnSpPr>
      <xdr:spPr>
        <a:xfrm>
          <a:off x="8705850" y="3865563"/>
          <a:ext cx="7937" cy="485775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87312</xdr:colOff>
      <xdr:row>16</xdr:row>
      <xdr:rowOff>142875</xdr:rowOff>
    </xdr:from>
    <xdr:to>
      <xdr:col>26</xdr:col>
      <xdr:colOff>134937</xdr:colOff>
      <xdr:row>20</xdr:row>
      <xdr:rowOff>0</xdr:rowOff>
    </xdr:to>
    <xdr:cxnSp macro="">
      <xdr:nvCxnSpPr>
        <xdr:cNvPr id="14" name="Conector recto 13"/>
        <xdr:cNvCxnSpPr/>
      </xdr:nvCxnSpPr>
      <xdr:spPr>
        <a:xfrm>
          <a:off x="8745537" y="2867025"/>
          <a:ext cx="20955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87312</xdr:colOff>
      <xdr:row>20</xdr:row>
      <xdr:rowOff>7938</xdr:rowOff>
    </xdr:from>
    <xdr:to>
      <xdr:col>26</xdr:col>
      <xdr:colOff>134937</xdr:colOff>
      <xdr:row>23</xdr:row>
      <xdr:rowOff>7938</xdr:rowOff>
    </xdr:to>
    <xdr:cxnSp macro="">
      <xdr:nvCxnSpPr>
        <xdr:cNvPr id="15" name="Conector recto 14"/>
        <xdr:cNvCxnSpPr/>
      </xdr:nvCxnSpPr>
      <xdr:spPr>
        <a:xfrm flipH="1">
          <a:off x="8907462" y="3379788"/>
          <a:ext cx="47625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23</xdr:row>
      <xdr:rowOff>7938</xdr:rowOff>
    </xdr:from>
    <xdr:to>
      <xdr:col>26</xdr:col>
      <xdr:colOff>119062</xdr:colOff>
      <xdr:row>26</xdr:row>
      <xdr:rowOff>15875</xdr:rowOff>
    </xdr:to>
    <xdr:cxnSp macro="">
      <xdr:nvCxnSpPr>
        <xdr:cNvPr id="16" name="Conector recto 15"/>
        <xdr:cNvCxnSpPr/>
      </xdr:nvCxnSpPr>
      <xdr:spPr>
        <a:xfrm>
          <a:off x="8899525" y="3865563"/>
          <a:ext cx="39687" cy="493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87312</xdr:colOff>
      <xdr:row>17</xdr:row>
      <xdr:rowOff>7938</xdr:rowOff>
    </xdr:from>
    <xdr:to>
      <xdr:col>23</xdr:col>
      <xdr:colOff>95250</xdr:colOff>
      <xdr:row>20</xdr:row>
      <xdr:rowOff>0</xdr:rowOff>
    </xdr:to>
    <xdr:cxnSp macro="">
      <xdr:nvCxnSpPr>
        <xdr:cNvPr id="17" name="Conector recto 16"/>
        <xdr:cNvCxnSpPr/>
      </xdr:nvCxnSpPr>
      <xdr:spPr>
        <a:xfrm>
          <a:off x="8240712" y="2894013"/>
          <a:ext cx="179388" cy="4778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71437</xdr:colOff>
      <xdr:row>20</xdr:row>
      <xdr:rowOff>0</xdr:rowOff>
    </xdr:from>
    <xdr:to>
      <xdr:col>23</xdr:col>
      <xdr:colOff>95250</xdr:colOff>
      <xdr:row>23</xdr:row>
      <xdr:rowOff>0</xdr:rowOff>
    </xdr:to>
    <xdr:cxnSp macro="">
      <xdr:nvCxnSpPr>
        <xdr:cNvPr id="18" name="Conector recto 17"/>
        <xdr:cNvCxnSpPr/>
      </xdr:nvCxnSpPr>
      <xdr:spPr>
        <a:xfrm flipH="1">
          <a:off x="8396287" y="3371850"/>
          <a:ext cx="23813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79375</xdr:colOff>
      <xdr:row>23</xdr:row>
      <xdr:rowOff>0</xdr:rowOff>
    </xdr:from>
    <xdr:to>
      <xdr:col>23</xdr:col>
      <xdr:colOff>87313</xdr:colOff>
      <xdr:row>25</xdr:row>
      <xdr:rowOff>150813</xdr:rowOff>
    </xdr:to>
    <xdr:cxnSp macro="">
      <xdr:nvCxnSpPr>
        <xdr:cNvPr id="19" name="Conector recto 18"/>
        <xdr:cNvCxnSpPr/>
      </xdr:nvCxnSpPr>
      <xdr:spPr>
        <a:xfrm>
          <a:off x="8404225" y="3857625"/>
          <a:ext cx="7938" cy="474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topLeftCell="A25" workbookViewId="0">
      <selection activeCell="I41" sqref="I41"/>
    </sheetView>
  </sheetViews>
  <sheetFormatPr baseColWidth="10" defaultRowHeight="12.75"/>
  <cols>
    <col min="1" max="1" width="3.85546875" style="1" customWidth="1"/>
    <col min="2" max="16384" width="11.42578125" style="1"/>
  </cols>
  <sheetData>
    <row r="2" spans="2:9" ht="13.5" thickBot="1"/>
    <row r="3" spans="2:9">
      <c r="B3" s="2"/>
      <c r="C3" s="3"/>
      <c r="D3" s="2"/>
      <c r="E3" s="4"/>
      <c r="F3" s="4"/>
      <c r="G3" s="4"/>
      <c r="H3" s="4"/>
      <c r="I3" s="3"/>
    </row>
    <row r="4" spans="2:9" ht="15.75">
      <c r="B4" s="5"/>
      <c r="C4" s="6"/>
      <c r="D4" s="7" t="s">
        <v>0</v>
      </c>
      <c r="E4" s="8"/>
      <c r="F4" s="8"/>
      <c r="G4" s="8"/>
      <c r="H4" s="8"/>
      <c r="I4" s="6"/>
    </row>
    <row r="5" spans="2:9">
      <c r="B5" s="5"/>
      <c r="C5" s="6"/>
      <c r="D5" s="5"/>
      <c r="E5" s="8"/>
      <c r="F5" s="8"/>
      <c r="G5" s="8"/>
      <c r="H5" s="8"/>
      <c r="I5" s="6"/>
    </row>
    <row r="6" spans="2:9" ht="13.5" thickBot="1">
      <c r="B6" s="9"/>
      <c r="C6" s="10"/>
      <c r="D6" s="11" t="s">
        <v>1</v>
      </c>
      <c r="E6" s="12"/>
      <c r="F6" s="12"/>
      <c r="G6" s="13" t="s">
        <v>2</v>
      </c>
      <c r="H6" s="14"/>
      <c r="I6" s="10"/>
    </row>
    <row r="7" spans="2:9">
      <c r="B7" s="5"/>
      <c r="C7" s="8"/>
      <c r="D7" s="8"/>
      <c r="E7" s="8"/>
      <c r="F7" s="8"/>
      <c r="G7" s="8"/>
      <c r="H7" s="8"/>
      <c r="I7" s="6"/>
    </row>
    <row r="8" spans="2:9">
      <c r="B8" s="5" t="s">
        <v>3</v>
      </c>
      <c r="C8" s="15" t="s">
        <v>305</v>
      </c>
      <c r="D8" s="15"/>
      <c r="E8" s="15"/>
      <c r="F8" s="15"/>
      <c r="G8" s="15"/>
      <c r="H8" s="15"/>
      <c r="I8" s="16"/>
    </row>
    <row r="9" spans="2:9">
      <c r="B9" s="5"/>
      <c r="C9" s="15"/>
      <c r="D9" s="15"/>
      <c r="E9" s="15"/>
      <c r="F9" s="15"/>
      <c r="G9" s="15"/>
      <c r="H9" s="15"/>
      <c r="I9" s="16">
        <v>1</v>
      </c>
    </row>
    <row r="10" spans="2:9">
      <c r="B10" s="5" t="s">
        <v>4</v>
      </c>
      <c r="C10" s="15" t="s">
        <v>306</v>
      </c>
      <c r="D10" s="15"/>
      <c r="E10" s="15"/>
      <c r="F10" s="15"/>
      <c r="G10" s="15"/>
      <c r="H10" s="15"/>
      <c r="I10" s="16"/>
    </row>
    <row r="11" spans="2:9">
      <c r="B11" s="5"/>
      <c r="C11" s="15"/>
      <c r="D11" s="15"/>
      <c r="E11" s="15"/>
      <c r="F11" s="15"/>
      <c r="G11" s="15"/>
      <c r="H11" s="15"/>
      <c r="I11" s="16"/>
    </row>
    <row r="12" spans="2:9">
      <c r="B12" s="5" t="s">
        <v>5</v>
      </c>
      <c r="C12" s="15" t="s">
        <v>345</v>
      </c>
      <c r="D12" s="15"/>
      <c r="E12" s="15"/>
      <c r="F12" s="15"/>
      <c r="G12" s="15"/>
      <c r="H12" s="15"/>
      <c r="I12" s="16"/>
    </row>
    <row r="13" spans="2:9">
      <c r="B13" s="5"/>
      <c r="C13" s="8"/>
      <c r="D13" s="8"/>
      <c r="E13" s="8"/>
      <c r="F13" s="8"/>
      <c r="G13" s="8"/>
      <c r="H13" s="8"/>
      <c r="I13" s="6"/>
    </row>
    <row r="14" spans="2:9">
      <c r="B14" s="5" t="s">
        <v>6</v>
      </c>
      <c r="C14" s="8"/>
      <c r="D14" s="15" t="s">
        <v>7</v>
      </c>
      <c r="E14" s="15"/>
      <c r="F14" s="15"/>
      <c r="G14" s="15"/>
      <c r="H14" s="15"/>
      <c r="I14" s="6"/>
    </row>
    <row r="15" spans="2:9">
      <c r="B15" s="5"/>
      <c r="C15" s="8"/>
      <c r="D15" s="15"/>
      <c r="E15" s="15"/>
      <c r="F15" s="15"/>
      <c r="G15" s="15"/>
      <c r="H15" s="15"/>
      <c r="I15" s="6"/>
    </row>
    <row r="16" spans="2:9" ht="13.5" thickBot="1">
      <c r="B16" s="5"/>
      <c r="C16" s="8"/>
      <c r="D16" s="8"/>
      <c r="E16" s="8"/>
      <c r="F16" s="8"/>
      <c r="G16" s="8"/>
      <c r="H16" s="8"/>
      <c r="I16" s="6"/>
    </row>
    <row r="17" spans="2:9">
      <c r="B17" s="2"/>
      <c r="C17" s="4"/>
      <c r="D17" s="4"/>
      <c r="E17" s="4"/>
      <c r="F17" s="4"/>
      <c r="G17" s="4"/>
      <c r="H17" s="4"/>
      <c r="I17" s="3"/>
    </row>
    <row r="18" spans="2:9">
      <c r="B18" s="17" t="s">
        <v>8</v>
      </c>
      <c r="C18" s="8"/>
      <c r="D18" s="8" t="s">
        <v>352</v>
      </c>
      <c r="E18" s="8"/>
      <c r="F18" s="8"/>
      <c r="G18" s="8"/>
      <c r="H18" s="8"/>
      <c r="I18" s="6"/>
    </row>
    <row r="19" spans="2:9">
      <c r="B19" s="5"/>
      <c r="C19" s="8"/>
      <c r="D19" s="8" t="s">
        <v>311</v>
      </c>
      <c r="E19" s="8"/>
      <c r="F19" s="8"/>
      <c r="G19" s="8"/>
      <c r="H19" s="8"/>
      <c r="I19" s="6"/>
    </row>
    <row r="20" spans="2:9">
      <c r="B20" s="5" t="s">
        <v>353</v>
      </c>
      <c r="C20" s="8"/>
      <c r="D20" s="8"/>
      <c r="E20" s="8"/>
      <c r="F20" s="8"/>
      <c r="G20" s="8"/>
      <c r="H20" s="8"/>
      <c r="I20" s="6"/>
    </row>
    <row r="21" spans="2:9">
      <c r="B21" s="5" t="s">
        <v>354</v>
      </c>
      <c r="C21" s="8"/>
      <c r="D21" s="8"/>
      <c r="E21" s="8"/>
      <c r="F21" s="8"/>
      <c r="G21" s="8"/>
      <c r="H21" s="8"/>
      <c r="I21" s="6"/>
    </row>
    <row r="22" spans="2:9">
      <c r="B22" s="5" t="s">
        <v>220</v>
      </c>
      <c r="C22" s="8"/>
      <c r="D22" s="8"/>
      <c r="E22" s="8"/>
      <c r="F22" s="8"/>
      <c r="G22" s="8"/>
      <c r="H22" s="8"/>
      <c r="I22" s="6"/>
    </row>
    <row r="23" spans="2:9">
      <c r="B23" s="5" t="s">
        <v>9</v>
      </c>
      <c r="C23" s="8"/>
      <c r="D23" s="8"/>
      <c r="E23" s="8"/>
      <c r="F23" s="8"/>
      <c r="G23" s="8"/>
      <c r="H23" s="8"/>
      <c r="I23" s="6"/>
    </row>
    <row r="24" spans="2:9">
      <c r="B24" s="5"/>
      <c r="C24" s="8"/>
      <c r="D24" s="8"/>
      <c r="E24" s="8"/>
      <c r="F24" s="8"/>
      <c r="G24" s="8"/>
      <c r="H24" s="8"/>
      <c r="I24" s="6"/>
    </row>
    <row r="25" spans="2:9">
      <c r="B25" s="18"/>
      <c r="C25" s="19" t="s">
        <v>10</v>
      </c>
      <c r="D25" s="19"/>
      <c r="E25" s="19" t="s">
        <v>11</v>
      </c>
      <c r="F25" s="19" t="s">
        <v>12</v>
      </c>
      <c r="G25" s="19" t="s">
        <v>13</v>
      </c>
      <c r="H25" s="19" t="s">
        <v>14</v>
      </c>
      <c r="I25" s="20" t="s">
        <v>15</v>
      </c>
    </row>
    <row r="26" spans="2:9">
      <c r="B26" s="18"/>
      <c r="C26" s="19"/>
      <c r="D26" s="19"/>
      <c r="E26" s="19" t="s">
        <v>16</v>
      </c>
      <c r="F26" s="19" t="s">
        <v>16</v>
      </c>
      <c r="G26" s="19" t="s">
        <v>17</v>
      </c>
      <c r="H26" s="19"/>
      <c r="I26" s="20" t="s">
        <v>18</v>
      </c>
    </row>
    <row r="27" spans="2:9">
      <c r="B27" s="18"/>
      <c r="C27" s="21"/>
      <c r="D27" s="21"/>
      <c r="E27" s="19"/>
      <c r="F27" s="19"/>
      <c r="G27" s="19"/>
      <c r="H27" s="19"/>
      <c r="I27" s="22"/>
    </row>
    <row r="28" spans="2:9">
      <c r="B28" s="18">
        <v>1</v>
      </c>
      <c r="C28" s="21" t="s">
        <v>312</v>
      </c>
      <c r="D28" s="21"/>
      <c r="E28" s="19">
        <v>20</v>
      </c>
      <c r="F28" s="19">
        <v>12</v>
      </c>
      <c r="G28" s="19">
        <f>E28*F28</f>
        <v>240</v>
      </c>
      <c r="H28" s="19">
        <v>2</v>
      </c>
      <c r="I28" s="22">
        <f>1.15*G28*H28</f>
        <v>552</v>
      </c>
    </row>
    <row r="29" spans="2:9">
      <c r="B29" s="18"/>
      <c r="C29" s="467"/>
      <c r="D29" s="467"/>
      <c r="E29" s="19"/>
      <c r="F29" s="19"/>
      <c r="G29" s="19"/>
      <c r="H29" s="19"/>
      <c r="I29" s="22"/>
    </row>
    <row r="30" spans="2:9">
      <c r="B30" s="18"/>
      <c r="C30" s="467"/>
      <c r="D30" s="467"/>
      <c r="E30" s="19"/>
      <c r="F30" s="19"/>
      <c r="G30" s="19"/>
      <c r="H30" s="19"/>
      <c r="I30" s="22"/>
    </row>
    <row r="31" spans="2:9">
      <c r="B31" s="18"/>
      <c r="C31" s="467"/>
      <c r="D31" s="467"/>
      <c r="E31" s="19"/>
      <c r="F31" s="19"/>
      <c r="G31" s="19"/>
      <c r="H31" s="19"/>
      <c r="I31" s="22"/>
    </row>
    <row r="32" spans="2:9">
      <c r="B32" s="18"/>
      <c r="C32" s="467"/>
      <c r="D32" s="467"/>
      <c r="E32" s="19"/>
      <c r="F32" s="19"/>
      <c r="G32" s="19"/>
      <c r="H32" s="19"/>
      <c r="I32" s="22"/>
    </row>
    <row r="33" spans="2:9">
      <c r="B33" s="18"/>
      <c r="C33" s="467"/>
      <c r="D33" s="467"/>
      <c r="E33" s="19"/>
      <c r="F33" s="19"/>
      <c r="G33" s="19"/>
      <c r="H33" s="19"/>
      <c r="I33" s="22"/>
    </row>
    <row r="34" spans="2:9">
      <c r="B34" s="5"/>
      <c r="C34" s="8"/>
      <c r="D34" s="8"/>
      <c r="E34" s="8"/>
      <c r="F34" s="8"/>
      <c r="G34" s="8"/>
      <c r="H34" s="8"/>
      <c r="I34" s="6"/>
    </row>
    <row r="35" spans="2:9">
      <c r="B35" s="17" t="s">
        <v>19</v>
      </c>
      <c r="C35" s="8"/>
      <c r="D35" s="8"/>
      <c r="E35" s="8"/>
      <c r="F35" s="8"/>
      <c r="G35" s="8"/>
      <c r="H35" s="8"/>
      <c r="I35" s="6"/>
    </row>
    <row r="36" spans="2:9">
      <c r="B36" s="5"/>
      <c r="C36" s="8"/>
      <c r="D36" s="8"/>
      <c r="E36" s="8"/>
      <c r="F36" s="8"/>
      <c r="G36" s="8"/>
      <c r="H36" s="8"/>
      <c r="I36" s="6"/>
    </row>
    <row r="37" spans="2:9">
      <c r="B37" s="18" t="s">
        <v>20</v>
      </c>
      <c r="C37" s="19"/>
      <c r="D37" s="19" t="s">
        <v>21</v>
      </c>
      <c r="E37" s="19"/>
      <c r="F37" s="19" t="s">
        <v>22</v>
      </c>
      <c r="G37" s="19" t="s">
        <v>23</v>
      </c>
      <c r="H37" s="23"/>
      <c r="I37" s="20"/>
    </row>
    <row r="38" spans="2:9">
      <c r="B38" s="18" t="s">
        <v>24</v>
      </c>
      <c r="C38" s="19"/>
      <c r="D38" s="19"/>
      <c r="E38" s="19"/>
      <c r="F38" s="19" t="s">
        <v>25</v>
      </c>
      <c r="G38" s="19" t="s">
        <v>26</v>
      </c>
      <c r="H38" s="8"/>
      <c r="I38" s="6"/>
    </row>
    <row r="39" spans="2:9">
      <c r="B39" s="18"/>
      <c r="C39" s="19"/>
      <c r="D39" s="19" t="s">
        <v>27</v>
      </c>
      <c r="E39" s="19" t="s">
        <v>28</v>
      </c>
      <c r="F39" s="19"/>
      <c r="G39" s="19"/>
      <c r="H39" s="19"/>
      <c r="I39" s="6"/>
    </row>
    <row r="40" spans="2:9">
      <c r="B40" s="18">
        <v>1</v>
      </c>
      <c r="C40" s="19"/>
      <c r="D40" s="19">
        <v>9889068</v>
      </c>
      <c r="E40" s="19">
        <v>534800</v>
      </c>
      <c r="F40" s="24">
        <v>6</v>
      </c>
      <c r="G40" s="24">
        <v>100</v>
      </c>
      <c r="H40" s="19"/>
      <c r="I40" s="6"/>
    </row>
    <row r="41" spans="2:9">
      <c r="B41" s="18">
        <v>2</v>
      </c>
      <c r="C41" s="19"/>
      <c r="D41" s="19">
        <v>9889048</v>
      </c>
      <c r="E41" s="19">
        <v>534788</v>
      </c>
      <c r="F41" s="24">
        <v>4.5</v>
      </c>
      <c r="G41" s="24">
        <v>98</v>
      </c>
      <c r="H41" s="19"/>
      <c r="I41" s="6"/>
    </row>
    <row r="42" spans="2:9">
      <c r="B42" s="18"/>
      <c r="C42" s="19"/>
      <c r="D42" s="19"/>
      <c r="E42" s="19"/>
      <c r="F42" s="24"/>
      <c r="G42" s="24"/>
      <c r="H42" s="19"/>
      <c r="I42" s="6"/>
    </row>
    <row r="43" spans="2:9">
      <c r="B43" s="18"/>
      <c r="C43" s="19"/>
      <c r="D43" s="19"/>
      <c r="E43" s="19"/>
      <c r="F43" s="24"/>
      <c r="G43" s="24"/>
      <c r="H43" s="19"/>
      <c r="I43" s="6"/>
    </row>
    <row r="44" spans="2:9">
      <c r="B44" s="18"/>
      <c r="C44" s="19"/>
      <c r="D44" s="21"/>
      <c r="E44" s="19"/>
      <c r="F44" s="24"/>
      <c r="G44" s="24"/>
      <c r="H44" s="19"/>
      <c r="I44" s="6"/>
    </row>
    <row r="45" spans="2:9">
      <c r="B45" s="18"/>
      <c r="C45" s="19"/>
      <c r="D45" s="21"/>
      <c r="E45" s="19"/>
      <c r="F45" s="24"/>
      <c r="G45" s="24"/>
      <c r="H45" s="19"/>
      <c r="I45" s="6"/>
    </row>
    <row r="46" spans="2:9">
      <c r="B46" s="18"/>
      <c r="C46" s="19"/>
      <c r="D46" s="21"/>
      <c r="E46" s="19"/>
      <c r="F46" s="24"/>
      <c r="G46" s="24"/>
      <c r="H46" s="19"/>
      <c r="I46" s="6"/>
    </row>
    <row r="47" spans="2:9">
      <c r="B47" s="18"/>
      <c r="C47" s="19"/>
      <c r="D47" s="21"/>
      <c r="E47" s="19"/>
      <c r="F47" s="24"/>
      <c r="G47" s="24"/>
      <c r="H47" s="19"/>
      <c r="I47" s="6"/>
    </row>
    <row r="48" spans="2:9">
      <c r="B48" s="18"/>
      <c r="C48" s="19"/>
      <c r="D48" s="19"/>
      <c r="E48" s="19"/>
      <c r="F48" s="24"/>
      <c r="G48" s="19"/>
      <c r="H48" s="19"/>
      <c r="I48" s="6"/>
    </row>
    <row r="49" spans="2:9">
      <c r="B49" s="18"/>
      <c r="C49" s="19"/>
      <c r="D49" s="19"/>
      <c r="E49" s="19"/>
      <c r="F49" s="24"/>
      <c r="G49" s="19"/>
      <c r="H49" s="19"/>
      <c r="I49" s="6"/>
    </row>
    <row r="50" spans="2:9">
      <c r="B50" s="25" t="s">
        <v>29</v>
      </c>
      <c r="C50" s="19"/>
      <c r="D50" s="19"/>
      <c r="E50" s="19"/>
      <c r="F50" s="24"/>
      <c r="G50" s="19"/>
      <c r="H50" s="19"/>
      <c r="I50" s="6"/>
    </row>
    <row r="51" spans="2:9">
      <c r="B51" s="25" t="s">
        <v>30</v>
      </c>
      <c r="C51" s="19"/>
      <c r="D51" s="19"/>
      <c r="E51" s="19"/>
      <c r="F51" s="19"/>
      <c r="G51" s="19"/>
      <c r="H51" s="19"/>
      <c r="I51" s="6"/>
    </row>
    <row r="52" spans="2:9">
      <c r="B52" s="25" t="s">
        <v>31</v>
      </c>
      <c r="C52" s="19"/>
      <c r="D52" s="19"/>
      <c r="E52" s="19"/>
      <c r="F52" s="19"/>
      <c r="G52" s="19"/>
      <c r="H52" s="19"/>
      <c r="I52" s="6"/>
    </row>
    <row r="53" spans="2:9">
      <c r="B53" s="25"/>
      <c r="C53" s="19"/>
      <c r="D53" s="19"/>
      <c r="E53" s="19"/>
      <c r="F53" s="19"/>
      <c r="G53" s="19"/>
      <c r="H53" s="19"/>
      <c r="I53" s="6"/>
    </row>
    <row r="54" spans="2:9">
      <c r="B54" s="25" t="s">
        <v>32</v>
      </c>
      <c r="C54" s="19"/>
      <c r="D54" s="19"/>
      <c r="E54" s="19"/>
      <c r="F54" s="19"/>
      <c r="G54" s="19"/>
      <c r="H54" s="19"/>
      <c r="I54" s="6"/>
    </row>
    <row r="55" spans="2:9">
      <c r="B55" s="25" t="s">
        <v>33</v>
      </c>
      <c r="C55" s="19"/>
      <c r="D55" s="19"/>
      <c r="E55" s="19"/>
      <c r="F55" s="19"/>
      <c r="G55" s="19"/>
      <c r="H55" s="19"/>
      <c r="I55" s="6"/>
    </row>
    <row r="56" spans="2:9">
      <c r="B56" s="25"/>
      <c r="C56" s="19"/>
      <c r="D56" s="19"/>
      <c r="E56" s="19"/>
      <c r="F56" s="19"/>
      <c r="G56" s="19"/>
      <c r="H56" s="19"/>
      <c r="I56" s="6"/>
    </row>
    <row r="57" spans="2:9">
      <c r="B57" s="25" t="s">
        <v>34</v>
      </c>
      <c r="C57" s="19"/>
      <c r="D57" s="19"/>
      <c r="E57" s="19"/>
      <c r="F57" s="19"/>
      <c r="G57" s="19"/>
      <c r="H57" s="19"/>
      <c r="I57" s="6"/>
    </row>
    <row r="58" spans="2:9">
      <c r="B58" s="25" t="s">
        <v>35</v>
      </c>
      <c r="C58" s="19"/>
      <c r="D58" s="19"/>
      <c r="E58" s="19"/>
      <c r="F58" s="19"/>
      <c r="G58" s="19"/>
      <c r="H58" s="19"/>
      <c r="I58" s="6"/>
    </row>
    <row r="59" spans="2:9">
      <c r="B59" s="25" t="s">
        <v>36</v>
      </c>
      <c r="C59" s="19"/>
      <c r="D59" s="19"/>
      <c r="E59" s="19"/>
      <c r="F59" s="19"/>
      <c r="G59" s="19"/>
      <c r="H59" s="19"/>
      <c r="I59" s="6"/>
    </row>
    <row r="60" spans="2:9">
      <c r="B60" s="25"/>
      <c r="C60" s="19"/>
      <c r="D60" s="19"/>
      <c r="E60" s="19"/>
      <c r="F60" s="8"/>
      <c r="G60" s="8"/>
      <c r="H60" s="19"/>
      <c r="I60" s="6"/>
    </row>
    <row r="61" spans="2:9">
      <c r="B61" s="25" t="s">
        <v>37</v>
      </c>
      <c r="C61" s="19"/>
      <c r="D61" s="19"/>
      <c r="E61" s="19"/>
      <c r="F61" s="8"/>
      <c r="G61" s="8"/>
      <c r="H61" s="8"/>
      <c r="I61" s="6"/>
    </row>
    <row r="62" spans="2:9">
      <c r="B62" s="25" t="s">
        <v>38</v>
      </c>
      <c r="C62" s="8"/>
      <c r="D62" s="8"/>
      <c r="E62" s="8"/>
      <c r="F62" s="8"/>
      <c r="G62" s="8"/>
      <c r="H62" s="8"/>
      <c r="I62" s="6"/>
    </row>
    <row r="63" spans="2:9" ht="13.5" thickBot="1">
      <c r="B63" s="26"/>
      <c r="C63" s="27"/>
      <c r="D63" s="27"/>
      <c r="E63" s="27"/>
      <c r="F63" s="27"/>
      <c r="G63" s="27"/>
      <c r="H63" s="27"/>
      <c r="I63" s="10"/>
    </row>
  </sheetData>
  <mergeCells count="5">
    <mergeCell ref="C29:D29"/>
    <mergeCell ref="C30:D30"/>
    <mergeCell ref="C31:D31"/>
    <mergeCell ref="C32:D32"/>
    <mergeCell ref="C33:D33"/>
  </mergeCells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10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1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1.5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25">
        <f t="shared" ref="F11:F18" si="0">100-E11</f>
        <v>100</v>
      </c>
      <c r="G11" s="320"/>
      <c r="I11" s="321">
        <v>39</v>
      </c>
      <c r="J11" s="326" t="s">
        <v>236</v>
      </c>
      <c r="K11" s="327">
        <v>55.82</v>
      </c>
      <c r="L11" s="327">
        <v>48.59</v>
      </c>
      <c r="M11" s="327">
        <v>5.75</v>
      </c>
      <c r="N11" s="322">
        <f>(K11-L11)/(L11-M11)*100</f>
        <v>16.876750700280102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30.007178750897339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1">D11+C12</f>
        <v>0</v>
      </c>
      <c r="E12" s="333">
        <f>100*D12/D19</f>
        <v>0</v>
      </c>
      <c r="F12" s="334">
        <f t="shared" si="0"/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16.876750700280102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1"/>
        <v>0</v>
      </c>
      <c r="E13" s="333">
        <f>100*D13/D19</f>
        <v>0</v>
      </c>
      <c r="F13" s="334">
        <f t="shared" si="0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>
        <f>(W17-(V18*U17))/(X17-(V18*V17))</f>
        <v>-6.5566405652037822</v>
      </c>
      <c r="AA13" s="338">
        <f>ROUND(AA11,0)-1</f>
        <v>29</v>
      </c>
      <c r="AB13" s="347">
        <f>$Z$13+($Z$14*V13)</f>
        <v>-6.5566405652037822</v>
      </c>
      <c r="AC13" s="329"/>
    </row>
    <row r="14" spans="2:29" ht="15" customHeight="1">
      <c r="B14" s="315" t="s">
        <v>245</v>
      </c>
      <c r="C14" s="331">
        <v>0</v>
      </c>
      <c r="D14" s="332">
        <f t="shared" si="1"/>
        <v>0</v>
      </c>
      <c r="E14" s="333">
        <f>100*D14/D19</f>
        <v>0</v>
      </c>
      <c r="F14" s="334">
        <f t="shared" si="0"/>
        <v>100</v>
      </c>
      <c r="G14" s="320"/>
      <c r="I14" s="321" t="s">
        <v>248</v>
      </c>
      <c r="J14" s="348">
        <v>32</v>
      </c>
      <c r="K14" s="327">
        <v>29.46</v>
      </c>
      <c r="L14" s="327">
        <v>25.28</v>
      </c>
      <c r="M14" s="327">
        <v>11.35</v>
      </c>
      <c r="N14" s="322">
        <f>(K14-L14)/(L14-M14)*100</f>
        <v>30.007178750897339</v>
      </c>
      <c r="O14" s="322" t="s">
        <v>220</v>
      </c>
      <c r="P14" s="340" t="s">
        <v>220</v>
      </c>
      <c r="T14" s="349">
        <f>J16</f>
        <v>10</v>
      </c>
      <c r="U14" s="350">
        <f>N16</f>
        <v>33.396226415094368</v>
      </c>
      <c r="V14" s="347">
        <f>LOG(J16)</f>
        <v>1</v>
      </c>
      <c r="W14" s="347">
        <f>U14*V14</f>
        <v>33.396226415094368</v>
      </c>
      <c r="X14" s="347">
        <f>V14^2</f>
        <v>1</v>
      </c>
      <c r="Y14" s="345" t="s">
        <v>246</v>
      </c>
      <c r="Z14" s="346">
        <f>(U17-(Z13*V17))/3</f>
        <v>40.022560629664952</v>
      </c>
      <c r="AA14" s="338">
        <f>AA$13</f>
        <v>29</v>
      </c>
      <c r="AB14" s="347">
        <f>$Z$13+($Z$14*V14)</f>
        <v>33.465920064461173</v>
      </c>
      <c r="AC14" s="329"/>
    </row>
    <row r="15" spans="2:29" ht="15" customHeight="1">
      <c r="B15" s="315" t="s">
        <v>247</v>
      </c>
      <c r="C15" s="331">
        <v>0</v>
      </c>
      <c r="D15" s="332">
        <f t="shared" si="1"/>
        <v>0</v>
      </c>
      <c r="E15" s="333">
        <f>100*D15/D19</f>
        <v>0</v>
      </c>
      <c r="F15" s="334">
        <f t="shared" si="0"/>
        <v>100</v>
      </c>
      <c r="G15" s="320"/>
      <c r="I15" s="321" t="s">
        <v>319</v>
      </c>
      <c r="J15" s="348">
        <v>22</v>
      </c>
      <c r="K15" s="327">
        <v>20.7</v>
      </c>
      <c r="L15" s="327">
        <v>17.55</v>
      </c>
      <c r="M15" s="327">
        <v>7.53</v>
      </c>
      <c r="N15" s="322">
        <f>(K15-L15)/(L15-M15)*100</f>
        <v>31.437125748502982</v>
      </c>
      <c r="O15" s="322"/>
      <c r="P15" s="340" t="s">
        <v>220</v>
      </c>
      <c r="T15" s="349">
        <f>J15</f>
        <v>22</v>
      </c>
      <c r="U15" s="350">
        <f>N15</f>
        <v>31.437125748502982</v>
      </c>
      <c r="V15" s="347">
        <f>LOG(J15)</f>
        <v>1.3424226808222062</v>
      </c>
      <c r="W15" s="347">
        <f>U15*V15</f>
        <v>42.201910624650175</v>
      </c>
      <c r="X15" s="347">
        <f>V15^2</f>
        <v>1.8020986539858788</v>
      </c>
      <c r="Y15" s="345" t="s">
        <v>249</v>
      </c>
      <c r="Z15" s="346">
        <f>Z14+(Z13*LOG(25))</f>
        <v>30.856770461084544</v>
      </c>
      <c r="AA15" s="338">
        <f>AA$13</f>
        <v>29</v>
      </c>
      <c r="AB15" s="347">
        <f>$Z$13+($Z$14*V15)</f>
        <v>47.170552568640332</v>
      </c>
      <c r="AC15" s="329"/>
    </row>
    <row r="16" spans="2:29" ht="15" customHeight="1">
      <c r="B16" s="315" t="s">
        <v>250</v>
      </c>
      <c r="C16" s="331">
        <v>0</v>
      </c>
      <c r="D16" s="332">
        <f t="shared" si="1"/>
        <v>0</v>
      </c>
      <c r="E16" s="333">
        <f>100*D16/D19</f>
        <v>0</v>
      </c>
      <c r="F16" s="334">
        <f t="shared" si="0"/>
        <v>100</v>
      </c>
      <c r="G16" s="320"/>
      <c r="I16" s="321" t="s">
        <v>304</v>
      </c>
      <c r="J16" s="348">
        <v>10</v>
      </c>
      <c r="K16" s="327">
        <v>21.69</v>
      </c>
      <c r="L16" s="327">
        <v>18.149999999999999</v>
      </c>
      <c r="M16" s="327">
        <v>7.55</v>
      </c>
      <c r="N16" s="322">
        <f>(K16-L16)/(L16-M16)*100</f>
        <v>33.396226415094368</v>
      </c>
      <c r="O16" s="336" t="s">
        <v>251</v>
      </c>
      <c r="P16" s="340" t="s">
        <v>220</v>
      </c>
      <c r="T16" s="349">
        <f>J14</f>
        <v>32</v>
      </c>
      <c r="U16" s="350">
        <f>N14</f>
        <v>30.007178750897339</v>
      </c>
      <c r="V16" s="347">
        <f>LOG(J14)</f>
        <v>1.505149978319906</v>
      </c>
      <c r="W16" s="347">
        <f>U16*V16</f>
        <v>45.165304446354675</v>
      </c>
      <c r="X16" s="347">
        <f>V16^2</f>
        <v>2.2654764572364137</v>
      </c>
      <c r="Y16" s="329"/>
      <c r="Z16" s="329"/>
      <c r="AA16" s="338">
        <f>AA$13</f>
        <v>29</v>
      </c>
      <c r="AB16" s="347">
        <f>$Z$13+($Z$14*V16)</f>
        <v>53.683315698843543</v>
      </c>
      <c r="AC16" s="329"/>
    </row>
    <row r="17" spans="1:29" ht="15" customHeight="1">
      <c r="B17" s="315" t="s">
        <v>252</v>
      </c>
      <c r="C17" s="351">
        <v>0</v>
      </c>
      <c r="D17" s="332">
        <f t="shared" si="1"/>
        <v>0</v>
      </c>
      <c r="E17" s="333">
        <f>100*D17/D19</f>
        <v>0</v>
      </c>
      <c r="F17" s="334">
        <f t="shared" si="0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94.840530914494693</v>
      </c>
      <c r="V17" s="347">
        <f>SUM(V14:V16)</f>
        <v>3.847572659142112</v>
      </c>
      <c r="W17" s="347">
        <f>SUM(W14:W16)</f>
        <v>120.76344148609923</v>
      </c>
      <c r="X17" s="347">
        <f>SUM(X14:X16)</f>
        <v>5.0675751112222924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1"/>
        <v>0</v>
      </c>
      <c r="E18" s="333">
        <f>100*D18/D19</f>
        <v>0</v>
      </c>
      <c r="F18" s="334">
        <f t="shared" si="0"/>
        <v>100</v>
      </c>
      <c r="G18" s="320"/>
      <c r="I18" s="321"/>
      <c r="J18" s="321"/>
      <c r="K18" s="352"/>
      <c r="L18" s="352"/>
      <c r="M18" s="352"/>
      <c r="N18" s="322"/>
      <c r="O18" s="336">
        <f>Z15</f>
        <v>30.856770461084544</v>
      </c>
      <c r="P18" s="340" t="s">
        <v>220</v>
      </c>
      <c r="T18" s="354" t="s">
        <v>255</v>
      </c>
      <c r="U18" s="350">
        <f>U17/3</f>
        <v>31.613510304831564</v>
      </c>
      <c r="V18" s="347">
        <f>V17/3</f>
        <v>1.2825242197140374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>
        <v>0</v>
      </c>
      <c r="D20" s="366"/>
      <c r="E20" s="367"/>
      <c r="F20" s="368"/>
      <c r="G20" s="369"/>
      <c r="I20" s="321">
        <v>75</v>
      </c>
      <c r="J20" s="326"/>
      <c r="K20" s="327">
        <v>11.86</v>
      </c>
      <c r="L20" s="327">
        <v>10.54</v>
      </c>
      <c r="M20" s="327">
        <v>5.46</v>
      </c>
      <c r="N20" s="322">
        <f>(K20-L20)/(L20-M20)*100</f>
        <v>25.984251968503948</v>
      </c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47.59</v>
      </c>
      <c r="D21" s="332">
        <f>C21</f>
        <v>47.59</v>
      </c>
      <c r="E21" s="333">
        <f>(100*D21/C25)</f>
        <v>27.810822829131652</v>
      </c>
      <c r="F21" s="370">
        <f>((100-E21)*F18)/100</f>
        <v>72.189177170868348</v>
      </c>
      <c r="G21" s="320"/>
      <c r="I21" s="321">
        <v>32</v>
      </c>
      <c r="J21" s="326"/>
      <c r="K21" s="327">
        <v>12.59</v>
      </c>
      <c r="L21" s="327">
        <v>11.14</v>
      </c>
      <c r="M21" s="327">
        <v>5.66</v>
      </c>
      <c r="N21" s="322">
        <f>(K21-L21)/(L21-M21)*100</f>
        <v>26.459854014598527</v>
      </c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23.56</v>
      </c>
      <c r="D22" s="332">
        <f>C22+D21</f>
        <v>71.150000000000006</v>
      </c>
      <c r="E22" s="317">
        <f>(100*D22/C25)</f>
        <v>41.578904061624655</v>
      </c>
      <c r="F22" s="370">
        <f>((100-E22)*F18)/100</f>
        <v>58.421095938375345</v>
      </c>
      <c r="G22" s="372"/>
      <c r="I22" s="321">
        <v>76</v>
      </c>
      <c r="J22" s="326"/>
      <c r="K22" s="327">
        <v>11.94</v>
      </c>
      <c r="L22" s="327">
        <v>10.61</v>
      </c>
      <c r="M22" s="327">
        <v>5.59</v>
      </c>
      <c r="N22" s="322">
        <f>(K22-L22)/(L22-M22)*100</f>
        <v>26.494023904382473</v>
      </c>
      <c r="O22" s="323"/>
      <c r="T22" s="329"/>
      <c r="U22" s="329"/>
      <c r="V22" s="371" t="s">
        <v>265</v>
      </c>
      <c r="W22" s="350">
        <f>F23-35</f>
        <v>-7.3058018207282913</v>
      </c>
      <c r="X22" s="350">
        <f>F23-15</f>
        <v>12.694198179271709</v>
      </c>
      <c r="Y22" s="347">
        <f>O18-40</f>
        <v>-9.1432295389154561</v>
      </c>
      <c r="Z22" s="347">
        <f>G39-10</f>
        <v>-5.4559395014104375</v>
      </c>
      <c r="AA22" s="329"/>
      <c r="AB22" s="329"/>
      <c r="AC22" s="329"/>
    </row>
    <row r="23" spans="1:29" ht="15" customHeight="1">
      <c r="B23" s="315" t="s">
        <v>266</v>
      </c>
      <c r="C23" s="331">
        <v>52.58</v>
      </c>
      <c r="D23" s="332">
        <f>C23+D22</f>
        <v>123.73</v>
      </c>
      <c r="E23" s="333">
        <f>(100*D23/C25)</f>
        <v>72.305801820728291</v>
      </c>
      <c r="F23" s="370">
        <f>((100-E23)*F18)/100</f>
        <v>27.694198179271709</v>
      </c>
      <c r="G23" s="373"/>
      <c r="I23" s="321"/>
      <c r="J23" s="326"/>
      <c r="K23" s="352"/>
      <c r="L23" s="352"/>
      <c r="M23" s="352"/>
      <c r="N23" s="322"/>
      <c r="O23" s="336">
        <f>(N20+N21+N22)/3</f>
        <v>26.312709962494981</v>
      </c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47.390431396045543</v>
      </c>
      <c r="D24" s="334">
        <f>C24+D23</f>
        <v>171.12043139604555</v>
      </c>
      <c r="E24" s="333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171.12043139604555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12.694198179271709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12.694198179271709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389">
        <f>D30/(O12+100)*100</f>
        <v>171.12043139604555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123.73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47.390431396045543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72.305801820728291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7.9254424365917169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27.694198179271709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MH</v>
      </c>
      <c r="Y35" s="407" t="str">
        <f>IF(G38&gt;24,Z35,AA35)</f>
        <v>ML</v>
      </c>
      <c r="Z35" s="407" t="str">
        <f>IF(G39&lt;X34,AB37,AB39)</f>
        <v>ML</v>
      </c>
      <c r="AA35" s="407" t="str">
        <f>IF(G39&lt;4,AB37,AB39)</f>
        <v>CL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16.876750700280102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30.856770461084544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4.5440604985895625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SM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SC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A-2-4</v>
      </c>
      <c r="X47" s="434" t="str">
        <f>IF(G39&gt;0,Y46,"A-3")</f>
        <v>A-2-4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A-2-4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32</v>
      </c>
      <c r="C101" s="353">
        <f>(N14)</f>
        <v>30.007178750897339</v>
      </c>
    </row>
    <row r="102" spans="2:3">
      <c r="B102" s="443">
        <f>(J15)</f>
        <v>22</v>
      </c>
      <c r="C102" s="353">
        <f>(N15)</f>
        <v>31.437125748502982</v>
      </c>
    </row>
    <row r="103" spans="2:3">
      <c r="B103" s="443">
        <f>(J16)</f>
        <v>10</v>
      </c>
      <c r="C103" s="353">
        <f>(N16)</f>
        <v>33.396226415094368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8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1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3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75"/>
      <c r="G11" s="320"/>
      <c r="I11" s="321">
        <v>25</v>
      </c>
      <c r="J11" s="326" t="s">
        <v>236</v>
      </c>
      <c r="K11" s="327">
        <v>48.74</v>
      </c>
      <c r="L11" s="327">
        <v>44.59</v>
      </c>
      <c r="M11" s="327">
        <v>5.57</v>
      </c>
      <c r="N11" s="322">
        <f>(K11-L11)/(L11-M11)*100</f>
        <v>10.635571501793947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0">D11+C12</f>
        <v>0</v>
      </c>
      <c r="E12" s="333">
        <f>100*D12/D19</f>
        <v>0</v>
      </c>
      <c r="F12" s="334">
        <f t="shared" ref="F12:F18" si="1">100-E12</f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10.635571501793947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0"/>
        <v>0</v>
      </c>
      <c r="E13" s="333">
        <f>100*D13/D19</f>
        <v>0</v>
      </c>
      <c r="F13" s="334">
        <f t="shared" si="1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0"/>
        <v>0</v>
      </c>
      <c r="E14" s="333">
        <f>100*D14/D19</f>
        <v>0</v>
      </c>
      <c r="F14" s="334">
        <f t="shared" si="1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0"/>
        <v>0</v>
      </c>
      <c r="E15" s="333">
        <f>100*D15/D19</f>
        <v>0</v>
      </c>
      <c r="F15" s="334">
        <f t="shared" si="1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0"/>
        <v>0</v>
      </c>
      <c r="E16" s="333">
        <f>100*D16/D19</f>
        <v>0</v>
      </c>
      <c r="F16" s="334">
        <f t="shared" si="1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0"/>
        <v>0</v>
      </c>
      <c r="E17" s="333">
        <f>100*D17/D19</f>
        <v>0</v>
      </c>
      <c r="F17" s="334">
        <f t="shared" si="1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0"/>
        <v>0</v>
      </c>
      <c r="E18" s="333">
        <f>100*D18/D19</f>
        <v>0</v>
      </c>
      <c r="F18" s="334">
        <f t="shared" si="1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/>
      <c r="D20" s="366"/>
      <c r="E20" s="444"/>
      <c r="F20" s="368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18.98</v>
      </c>
      <c r="D21" s="332">
        <f>C21</f>
        <v>18.98</v>
      </c>
      <c r="E21" s="332">
        <f>100*D21/D24</f>
        <v>10.499315735520245</v>
      </c>
      <c r="F21" s="370">
        <f>((100-E21)*F18)/100</f>
        <v>89.500684264479744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30.84</v>
      </c>
      <c r="D22" s="332">
        <f>C22+D21</f>
        <v>49.82</v>
      </c>
      <c r="E22" s="332">
        <f>100*D22/D24</f>
        <v>27.559320861096872</v>
      </c>
      <c r="F22" s="370">
        <f>((100-E22)*F18)/100</f>
        <v>72.440679138903135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-12.118525115325468</v>
      </c>
      <c r="X22" s="350">
        <f>F23-15</f>
        <v>7.8814748846745317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89.59</v>
      </c>
      <c r="D23" s="332">
        <f>C23+D22</f>
        <v>139.41</v>
      </c>
      <c r="E23" s="332">
        <f>100*D23/D24</f>
        <v>77.118525115325468</v>
      </c>
      <c r="F23" s="370">
        <f>((100-E23)*F18)/100</f>
        <v>22.881474884674532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41.363685429696574</v>
      </c>
      <c r="D24" s="334">
        <f>C24+D23</f>
        <v>180.77368542969657</v>
      </c>
      <c r="E24" s="332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180.77368542969657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7.8814748846745317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7.8814748846745317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180.77368542969657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139.41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41.363685429696574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77.118525115325468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22.881474884674532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10.635571501793947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A-2-4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7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1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4.5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75"/>
      <c r="G11" s="320"/>
      <c r="I11" s="321">
        <v>40</v>
      </c>
      <c r="J11" s="326" t="s">
        <v>236</v>
      </c>
      <c r="K11" s="327">
        <v>60.12</v>
      </c>
      <c r="L11" s="327">
        <v>56.94</v>
      </c>
      <c r="M11" s="327">
        <v>5.54</v>
      </c>
      <c r="N11" s="322">
        <f>(K11-L11)/(L11-M11)*100</f>
        <v>6.1867704280155635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0">D11+C12</f>
        <v>0</v>
      </c>
      <c r="E12" s="333">
        <f>100*D12/D19</f>
        <v>0</v>
      </c>
      <c r="F12" s="334">
        <f t="shared" ref="F12:F18" si="1">100-E12</f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6.1867704280155635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0"/>
        <v>0</v>
      </c>
      <c r="E13" s="333">
        <f>100*D13/D19</f>
        <v>0</v>
      </c>
      <c r="F13" s="334">
        <f t="shared" si="1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0"/>
        <v>0</v>
      </c>
      <c r="E14" s="333">
        <f>100*D14/D19</f>
        <v>0</v>
      </c>
      <c r="F14" s="334">
        <f t="shared" si="1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0"/>
        <v>0</v>
      </c>
      <c r="E15" s="333">
        <f>100*D15/D19</f>
        <v>0</v>
      </c>
      <c r="F15" s="334">
        <f t="shared" si="1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0"/>
        <v>0</v>
      </c>
      <c r="E16" s="333">
        <f>100*D16/D19</f>
        <v>0</v>
      </c>
      <c r="F16" s="334">
        <f t="shared" si="1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0"/>
        <v>0</v>
      </c>
      <c r="E17" s="333">
        <f>100*D17/D19</f>
        <v>0</v>
      </c>
      <c r="F17" s="334">
        <f t="shared" si="1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0"/>
        <v>0</v>
      </c>
      <c r="E18" s="333">
        <f>100*D18/D19</f>
        <v>0</v>
      </c>
      <c r="F18" s="334">
        <f t="shared" si="1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>
        <v>0</v>
      </c>
      <c r="D20" s="366"/>
      <c r="E20" s="444"/>
      <c r="F20" s="368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18.13</v>
      </c>
      <c r="D21" s="332">
        <f>C21</f>
        <v>18.13</v>
      </c>
      <c r="E21" s="332">
        <f>100*D21/D24</f>
        <v>9.6258307392996105</v>
      </c>
      <c r="F21" s="370">
        <f>((100-E21)*F18)/100</f>
        <v>90.374169260700384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36.5</v>
      </c>
      <c r="D22" s="332">
        <f>C22+D21</f>
        <v>54.629999999999995</v>
      </c>
      <c r="E22" s="332">
        <f>100*D22/D24</f>
        <v>29.00491634241245</v>
      </c>
      <c r="F22" s="370">
        <f>((100-E22)*F18)/100</f>
        <v>70.995083657587543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-19.370698443579769</v>
      </c>
      <c r="X22" s="350">
        <f>F23-15</f>
        <v>0.62930155642023067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104.28</v>
      </c>
      <c r="D23" s="332">
        <f>C23+D22</f>
        <v>158.91</v>
      </c>
      <c r="E23" s="332">
        <f>100*D23/D24</f>
        <v>84.370698443579769</v>
      </c>
      <c r="F23" s="370">
        <f>((100-E23)*F18)/100</f>
        <v>15.629301556420231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29.43737999267131</v>
      </c>
      <c r="D24" s="334">
        <f>C24+D23</f>
        <v>188.34737999267131</v>
      </c>
      <c r="E24" s="332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188.34737999267131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0.62930155642023067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0.62930155642023067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188.34737999267131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158.91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29.43737999267131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84.370698443579769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15.629301556420231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6.1867704280155635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A-2-4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8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1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6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75"/>
      <c r="G11" s="320"/>
      <c r="I11" s="321">
        <v>83</v>
      </c>
      <c r="J11" s="326" t="s">
        <v>236</v>
      </c>
      <c r="K11" s="327">
        <v>54.84</v>
      </c>
      <c r="L11" s="327">
        <v>50.72</v>
      </c>
      <c r="M11" s="327">
        <v>5.65</v>
      </c>
      <c r="N11" s="322">
        <f>(K11-L11)/(L11-M11)*100</f>
        <v>9.1413357000221982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0">D11+C12</f>
        <v>0</v>
      </c>
      <c r="E12" s="333">
        <f>100*D12/D19</f>
        <v>0</v>
      </c>
      <c r="F12" s="334">
        <f t="shared" ref="F12:F18" si="1">100-E12</f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9.1413357000221982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0"/>
        <v>0</v>
      </c>
      <c r="E13" s="333">
        <f>100*D13/D19</f>
        <v>0</v>
      </c>
      <c r="F13" s="334">
        <f t="shared" si="1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0"/>
        <v>0</v>
      </c>
      <c r="E14" s="333">
        <f>100*D14/D19</f>
        <v>0</v>
      </c>
      <c r="F14" s="334">
        <f t="shared" si="1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0"/>
        <v>0</v>
      </c>
      <c r="E15" s="333">
        <f>100*D15/D19</f>
        <v>0</v>
      </c>
      <c r="F15" s="334">
        <f t="shared" si="1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0"/>
        <v>0</v>
      </c>
      <c r="E16" s="333">
        <f>100*D16/D19</f>
        <v>0</v>
      </c>
      <c r="F16" s="334">
        <f t="shared" si="1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0"/>
        <v>0</v>
      </c>
      <c r="E17" s="333">
        <f>100*D17/D19</f>
        <v>0</v>
      </c>
      <c r="F17" s="334">
        <f t="shared" si="1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0"/>
        <v>0</v>
      </c>
      <c r="E18" s="333">
        <f>100*D18/D19</f>
        <v>0</v>
      </c>
      <c r="F18" s="334">
        <f t="shared" si="1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/>
      <c r="D20" s="366"/>
      <c r="E20" s="444"/>
      <c r="F20" s="368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21.45</v>
      </c>
      <c r="D21" s="332">
        <f>C21</f>
        <v>21.45</v>
      </c>
      <c r="E21" s="332">
        <f>100*D21/D24</f>
        <v>11.705408253827381</v>
      </c>
      <c r="F21" s="370">
        <f>((100-E21)*F18)/100</f>
        <v>88.294591746172614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36.75</v>
      </c>
      <c r="D22" s="332">
        <f>C22+D21</f>
        <v>58.2</v>
      </c>
      <c r="E22" s="332">
        <f>100*D22/D24</f>
        <v>31.760128688706459</v>
      </c>
      <c r="F22" s="370">
        <f>((100-E22)*F18)/100</f>
        <v>68.239871311293541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-17.068827379631685</v>
      </c>
      <c r="X22" s="350">
        <f>F23-15</f>
        <v>2.9311726203683151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92.19</v>
      </c>
      <c r="D23" s="332">
        <f>C23+D22</f>
        <v>150.38999999999999</v>
      </c>
      <c r="E23" s="332">
        <f>100*D23/D24</f>
        <v>82.068827379631685</v>
      </c>
      <c r="F23" s="370">
        <f>((100-E23)*F18)/100</f>
        <v>17.931172620368315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32.85862776987193</v>
      </c>
      <c r="D24" s="334">
        <f>C24+D23</f>
        <v>183.24862776987192</v>
      </c>
      <c r="E24" s="332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183.24862776987192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2.9311726203683151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2.9311726203683151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183.24862776987192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150.38999999999999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32.85862776987193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82.068827379631685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17.931172620368315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9.1413357000221982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A-2-4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7" zoomScale="90" zoomScaleNormal="90" workbookViewId="0">
      <selection activeCell="D27" sqref="D27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2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1.5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75"/>
      <c r="G11" s="320"/>
      <c r="I11" s="321">
        <v>37</v>
      </c>
      <c r="J11" s="326" t="s">
        <v>236</v>
      </c>
      <c r="K11" s="327">
        <v>45.89</v>
      </c>
      <c r="L11" s="327">
        <v>42.23</v>
      </c>
      <c r="M11" s="327">
        <v>5.74</v>
      </c>
      <c r="N11" s="322">
        <f>(K11-L11)/(L11-M11)*100</f>
        <v>10.030145245272688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0">D11+C12</f>
        <v>0</v>
      </c>
      <c r="E12" s="333">
        <f>100*D12/D19</f>
        <v>0</v>
      </c>
      <c r="F12" s="334">
        <f t="shared" ref="F12:F18" si="1">100-E12</f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10.030145245272688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0"/>
        <v>0</v>
      </c>
      <c r="E13" s="333">
        <f>100*D13/D19</f>
        <v>0</v>
      </c>
      <c r="F13" s="334">
        <f t="shared" si="1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0"/>
        <v>0</v>
      </c>
      <c r="E14" s="333">
        <f>100*D14/D19</f>
        <v>0</v>
      </c>
      <c r="F14" s="334">
        <f t="shared" si="1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0"/>
        <v>0</v>
      </c>
      <c r="E15" s="333">
        <f>100*D15/D19</f>
        <v>0</v>
      </c>
      <c r="F15" s="334">
        <f t="shared" si="1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0"/>
        <v>0</v>
      </c>
      <c r="E16" s="333">
        <f>100*D16/D19</f>
        <v>0</v>
      </c>
      <c r="F16" s="334">
        <f t="shared" si="1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0"/>
        <v>0</v>
      </c>
      <c r="E17" s="333">
        <f>100*D17/D19</f>
        <v>0</v>
      </c>
      <c r="F17" s="334">
        <f t="shared" si="1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0"/>
        <v>0</v>
      </c>
      <c r="E18" s="333">
        <f>100*D18/D19</f>
        <v>0</v>
      </c>
      <c r="F18" s="334">
        <f t="shared" si="1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/>
      <c r="D20" s="366"/>
      <c r="E20" s="444"/>
      <c r="F20" s="368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25.79</v>
      </c>
      <c r="D21" s="332">
        <f>C21</f>
        <v>25.79</v>
      </c>
      <c r="E21" s="332">
        <f>100*D21/D24</f>
        <v>14.188387229377915</v>
      </c>
      <c r="F21" s="370">
        <f>((100-E21)*F18)/100</f>
        <v>85.811612770622091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27.66</v>
      </c>
      <c r="D22" s="332">
        <f>C22+D21</f>
        <v>53.45</v>
      </c>
      <c r="E22" s="332">
        <f>100*D22/D24</f>
        <v>29.405556316799128</v>
      </c>
      <c r="F22" s="370">
        <f>((100-E22)*F18)/100</f>
        <v>70.594443683200865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-17.010968758564005</v>
      </c>
      <c r="X22" s="350">
        <f>F23-15</f>
        <v>2.9890312414359954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95.62</v>
      </c>
      <c r="D23" s="332">
        <f>C23+D22</f>
        <v>149.07</v>
      </c>
      <c r="E23" s="332">
        <f>100*D23/D24</f>
        <v>82.010968758564005</v>
      </c>
      <c r="F23" s="370">
        <f>((100-E23)*F18)/100</f>
        <v>17.989031241435995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32.698368617683656</v>
      </c>
      <c r="D24" s="334">
        <f>C24+D23</f>
        <v>181.76836861768365</v>
      </c>
      <c r="E24" s="332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181.76836861768365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2.9890312414359954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2.9890312414359954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181.76836861768365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149.07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32.698368617683656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82.010968758564005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17.989031241435995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10.030145245272688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A-2-4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7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2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3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446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447">
        <f t="shared" ref="F11:F18" si="0">100-E11</f>
        <v>100</v>
      </c>
      <c r="G11" s="320"/>
      <c r="I11" s="321">
        <v>47</v>
      </c>
      <c r="J11" s="326" t="s">
        <v>236</v>
      </c>
      <c r="K11" s="327">
        <v>52.96</v>
      </c>
      <c r="L11" s="327">
        <v>49.58</v>
      </c>
      <c r="M11" s="327">
        <v>5.52</v>
      </c>
      <c r="N11" s="322">
        <f>(K11-L11)/(L11-M11)*100</f>
        <v>7.6713572401271053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1">D11+C12</f>
        <v>0</v>
      </c>
      <c r="E12" s="333">
        <f>100*D12/D19</f>
        <v>0</v>
      </c>
      <c r="F12" s="448">
        <f t="shared" si="0"/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7.6713572401271053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1"/>
        <v>0</v>
      </c>
      <c r="E13" s="333">
        <f>100*D13/D19</f>
        <v>0</v>
      </c>
      <c r="F13" s="448">
        <f t="shared" si="0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1"/>
        <v>0</v>
      </c>
      <c r="E14" s="333">
        <f>100*D14/D19</f>
        <v>0</v>
      </c>
      <c r="F14" s="448">
        <f t="shared" si="0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1"/>
        <v>0</v>
      </c>
      <c r="E15" s="333">
        <f>100*D15/D19</f>
        <v>0</v>
      </c>
      <c r="F15" s="448">
        <f t="shared" si="0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1"/>
        <v>0</v>
      </c>
      <c r="E16" s="333">
        <f>100*D16/D19</f>
        <v>0</v>
      </c>
      <c r="F16" s="448">
        <f t="shared" si="0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1"/>
        <v>0</v>
      </c>
      <c r="E17" s="333">
        <f>100*D17/D19</f>
        <v>0</v>
      </c>
      <c r="F17" s="448">
        <f t="shared" si="0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1"/>
        <v>0</v>
      </c>
      <c r="E18" s="333">
        <f>100*D18/D19</f>
        <v>0</v>
      </c>
      <c r="F18" s="448">
        <f t="shared" si="0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449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>
        <v>0</v>
      </c>
      <c r="D20" s="366"/>
      <c r="E20" s="367"/>
      <c r="F20" s="450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12</v>
      </c>
      <c r="D21" s="332">
        <f>C21</f>
        <v>12</v>
      </c>
      <c r="E21" s="333">
        <f>(100*D21/D24)</f>
        <v>6.4602814344076256</v>
      </c>
      <c r="F21" s="451">
        <f>((100-E21)*F18)/100</f>
        <v>93.539718565592381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43.19</v>
      </c>
      <c r="D22" s="332">
        <f>C22+D21</f>
        <v>55.19</v>
      </c>
      <c r="E22" s="317">
        <f>(100*D22/D24)</f>
        <v>29.71191103041307</v>
      </c>
      <c r="F22" s="451">
        <f>((100-E22)*F18)/100</f>
        <v>70.288088969586937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-21.309359963685878</v>
      </c>
      <c r="X22" s="350">
        <f>F23-15</f>
        <v>-1.3093599636858784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105.13</v>
      </c>
      <c r="D23" s="332">
        <f>C23+D22</f>
        <v>160.32</v>
      </c>
      <c r="E23" s="333">
        <f>(100*D23/D24)</f>
        <v>86.309359963685878</v>
      </c>
      <c r="F23" s="451">
        <f>((100-E23)*F18)/100</f>
        <v>13.690640036314122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F30-F31</f>
        <v>25.430421585160218</v>
      </c>
      <c r="D24" s="334">
        <f>C24+D23</f>
        <v>185.75042158516021</v>
      </c>
      <c r="E24" s="333"/>
      <c r="F24" s="32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185.75042158516021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0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0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185.75042158516021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160.32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25.430421585160218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86.309359963685878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13.690640036314122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7.6713572401271053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A-1-a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opLeftCell="A7" zoomScale="90" zoomScaleNormal="90" workbookViewId="0">
      <selection activeCell="C24" sqref="C24"/>
    </sheetView>
  </sheetViews>
  <sheetFormatPr baseColWidth="10" defaultColWidth="11.140625" defaultRowHeight="12"/>
  <cols>
    <col min="1" max="1" width="2.7109375" style="285" customWidth="1"/>
    <col min="2" max="2" width="15.28515625" style="285" customWidth="1"/>
    <col min="3" max="3" width="14.5703125" style="285" customWidth="1"/>
    <col min="4" max="4" width="14.7109375" style="285" customWidth="1"/>
    <col min="5" max="6" width="12.85546875" style="285" customWidth="1"/>
    <col min="7" max="7" width="13.7109375" style="285" customWidth="1"/>
    <col min="8" max="8" width="10" style="285" customWidth="1"/>
    <col min="9" max="9" width="13.85546875" style="285" customWidth="1"/>
    <col min="10" max="10" width="14.85546875" style="285" customWidth="1"/>
    <col min="11" max="15" width="13.85546875" style="285" customWidth="1"/>
    <col min="16" max="17" width="11.140625" style="285" customWidth="1"/>
    <col min="18" max="22" width="10" style="285" customWidth="1"/>
    <col min="23" max="23" width="13.5703125" style="285" customWidth="1"/>
    <col min="24" max="31" width="10" style="285" customWidth="1"/>
    <col min="32" max="16384" width="11.140625" style="285"/>
  </cols>
  <sheetData>
    <row r="1" spans="2:29" ht="54.75" customHeight="1">
      <c r="B1" s="515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2:29" ht="26.25" customHeight="1">
      <c r="B2" s="518" t="s">
        <v>204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20"/>
    </row>
    <row r="3" spans="2:29" ht="20.100000000000001" customHeight="1">
      <c r="B3" s="286" t="s">
        <v>205</v>
      </c>
      <c r="C3" s="287" t="s">
        <v>318</v>
      </c>
      <c r="D3" s="288"/>
      <c r="E3" s="288"/>
      <c r="F3" s="289"/>
      <c r="G3" s="288"/>
      <c r="H3" s="288"/>
      <c r="I3" s="288"/>
      <c r="J3" s="290" t="s">
        <v>206</v>
      </c>
      <c r="K3" s="291">
        <v>42702</v>
      </c>
      <c r="L3" s="292"/>
      <c r="M3" s="288"/>
      <c r="N3" s="288"/>
      <c r="O3" s="293"/>
    </row>
    <row r="4" spans="2:29" ht="20.100000000000001" customHeight="1">
      <c r="B4" s="294" t="s">
        <v>207</v>
      </c>
      <c r="C4" s="295" t="s">
        <v>306</v>
      </c>
      <c r="D4" s="296"/>
      <c r="E4" s="296"/>
      <c r="F4" s="297" t="s">
        <v>208</v>
      </c>
      <c r="G4" s="298">
        <v>2</v>
      </c>
      <c r="H4" s="299"/>
      <c r="I4" s="296"/>
      <c r="J4" s="297" t="s">
        <v>209</v>
      </c>
      <c r="K4" s="300" t="s">
        <v>210</v>
      </c>
      <c r="L4" s="299"/>
      <c r="M4" s="296"/>
      <c r="N4" s="296"/>
      <c r="O4" s="301"/>
    </row>
    <row r="5" spans="2:29" ht="20.100000000000001" customHeight="1">
      <c r="B5" s="294" t="s">
        <v>211</v>
      </c>
      <c r="C5" s="295" t="s">
        <v>310</v>
      </c>
      <c r="D5" s="296"/>
      <c r="E5" s="296"/>
      <c r="F5" s="297" t="s">
        <v>212</v>
      </c>
      <c r="G5" s="302">
        <v>4.5</v>
      </c>
      <c r="H5" s="303"/>
      <c r="I5" s="296"/>
      <c r="J5" s="304" t="s">
        <v>213</v>
      </c>
      <c r="K5" s="300" t="s">
        <v>214</v>
      </c>
      <c r="L5" s="296"/>
      <c r="M5" s="296"/>
      <c r="N5" s="296"/>
      <c r="O5" s="301"/>
    </row>
    <row r="6" spans="2:29" ht="22.5" customHeight="1">
      <c r="B6" s="305"/>
      <c r="F6" s="306" t="s">
        <v>215</v>
      </c>
      <c r="O6" s="307"/>
    </row>
    <row r="7" spans="2:29" ht="18" customHeight="1">
      <c r="B7" s="305"/>
      <c r="D7" s="521" t="s">
        <v>216</v>
      </c>
      <c r="E7" s="521"/>
      <c r="F7" s="521"/>
      <c r="K7" s="306" t="s">
        <v>217</v>
      </c>
      <c r="O7" s="307"/>
    </row>
    <row r="8" spans="2:29" ht="20.100000000000001" customHeight="1">
      <c r="B8" s="522" t="s">
        <v>218</v>
      </c>
      <c r="C8" s="308" t="s">
        <v>219</v>
      </c>
      <c r="D8" s="308" t="s">
        <v>219</v>
      </c>
      <c r="E8" s="308" t="s">
        <v>71</v>
      </c>
      <c r="F8" s="308" t="s">
        <v>71</v>
      </c>
      <c r="G8" s="308" t="s">
        <v>71</v>
      </c>
      <c r="H8" s="306" t="s">
        <v>220</v>
      </c>
      <c r="I8" s="309" t="s">
        <v>221</v>
      </c>
      <c r="J8" s="310" t="s">
        <v>221</v>
      </c>
      <c r="K8" s="309" t="s">
        <v>222</v>
      </c>
      <c r="L8" s="309" t="s">
        <v>222</v>
      </c>
      <c r="M8" s="309" t="s">
        <v>222</v>
      </c>
      <c r="N8" s="309" t="s">
        <v>71</v>
      </c>
      <c r="O8" s="310" t="s">
        <v>71</v>
      </c>
    </row>
    <row r="9" spans="2:29" ht="20.100000000000001" customHeight="1">
      <c r="B9" s="523"/>
      <c r="C9" s="311" t="s">
        <v>223</v>
      </c>
      <c r="D9" s="311" t="s">
        <v>224</v>
      </c>
      <c r="E9" s="311" t="s">
        <v>225</v>
      </c>
      <c r="F9" s="311" t="s">
        <v>226</v>
      </c>
      <c r="G9" s="311" t="s">
        <v>227</v>
      </c>
      <c r="I9" s="312" t="s">
        <v>228</v>
      </c>
      <c r="J9" s="313" t="s">
        <v>229</v>
      </c>
      <c r="K9" s="312" t="s">
        <v>230</v>
      </c>
      <c r="L9" s="312" t="s">
        <v>231</v>
      </c>
      <c r="M9" s="312" t="s">
        <v>228</v>
      </c>
      <c r="N9" s="312" t="s">
        <v>232</v>
      </c>
      <c r="O9" s="314" t="s">
        <v>233</v>
      </c>
    </row>
    <row r="10" spans="2:29" ht="15" customHeight="1">
      <c r="B10" s="315" t="s">
        <v>234</v>
      </c>
      <c r="C10" s="316">
        <v>0</v>
      </c>
      <c r="D10" s="317">
        <f>C10</f>
        <v>0</v>
      </c>
      <c r="E10" s="318">
        <f>100*D10/D19</f>
        <v>0</v>
      </c>
      <c r="F10" s="319"/>
      <c r="G10" s="320"/>
      <c r="I10" s="321" t="s">
        <v>220</v>
      </c>
      <c r="J10" s="321" t="s">
        <v>220</v>
      </c>
      <c r="K10" s="321"/>
      <c r="L10" s="321"/>
      <c r="M10" s="321"/>
      <c r="N10" s="322"/>
      <c r="O10" s="323"/>
    </row>
    <row r="11" spans="2:29" ht="15" customHeight="1">
      <c r="B11" s="315" t="s">
        <v>235</v>
      </c>
      <c r="C11" s="316">
        <v>0</v>
      </c>
      <c r="D11" s="317">
        <v>0</v>
      </c>
      <c r="E11" s="324">
        <f>100*D11/D19</f>
        <v>0</v>
      </c>
      <c r="F11" s="375"/>
      <c r="G11" s="320"/>
      <c r="I11" s="321">
        <v>55</v>
      </c>
      <c r="J11" s="326" t="s">
        <v>236</v>
      </c>
      <c r="K11" s="327">
        <v>47.25</v>
      </c>
      <c r="L11" s="327">
        <v>44.19</v>
      </c>
      <c r="M11" s="327">
        <v>5.56</v>
      </c>
      <c r="N11" s="322">
        <f>(K11-L11)/(L11-M11)*100</f>
        <v>7.9213046854776152</v>
      </c>
      <c r="O11" s="328"/>
      <c r="T11" s="329"/>
      <c r="U11" s="329"/>
      <c r="V11" s="329"/>
      <c r="W11" s="329"/>
      <c r="X11" s="329"/>
      <c r="Y11" s="329"/>
      <c r="Z11" s="329"/>
      <c r="AA11" s="330">
        <f>MIN(U14:U16)</f>
        <v>0</v>
      </c>
      <c r="AB11" s="329"/>
      <c r="AC11" s="329"/>
    </row>
    <row r="12" spans="2:29" ht="15" customHeight="1">
      <c r="B12" s="315" t="s">
        <v>237</v>
      </c>
      <c r="C12" s="331">
        <v>0</v>
      </c>
      <c r="D12" s="332">
        <f t="shared" ref="D12:D18" si="0">D11+C12</f>
        <v>0</v>
      </c>
      <c r="E12" s="333">
        <f>100*D12/D19</f>
        <v>0</v>
      </c>
      <c r="F12" s="334">
        <f t="shared" ref="F12:F18" si="1">100-E12</f>
        <v>100</v>
      </c>
      <c r="G12" s="320"/>
      <c r="I12" s="321" t="s">
        <v>220</v>
      </c>
      <c r="J12" s="326"/>
      <c r="K12" s="335"/>
      <c r="L12" s="327"/>
      <c r="M12" s="327"/>
      <c r="N12" s="322"/>
      <c r="O12" s="336">
        <f>IF((N11+N12)=N11,N11,((N11+N12)/2))</f>
        <v>7.9213046854776152</v>
      </c>
      <c r="T12" s="337" t="s">
        <v>229</v>
      </c>
      <c r="U12" s="337" t="s">
        <v>238</v>
      </c>
      <c r="V12" s="337" t="s">
        <v>239</v>
      </c>
      <c r="W12" s="337" t="s">
        <v>240</v>
      </c>
      <c r="X12" s="337" t="s">
        <v>241</v>
      </c>
      <c r="Y12" s="329"/>
      <c r="Z12" s="329"/>
      <c r="AA12" s="338"/>
      <c r="AB12" s="329"/>
      <c r="AC12" s="329"/>
    </row>
    <row r="13" spans="2:29" ht="15" customHeight="1">
      <c r="B13" s="315" t="s">
        <v>242</v>
      </c>
      <c r="C13" s="331">
        <v>0</v>
      </c>
      <c r="D13" s="332">
        <f t="shared" si="0"/>
        <v>0</v>
      </c>
      <c r="E13" s="333">
        <f>100*D13/D19</f>
        <v>0</v>
      </c>
      <c r="F13" s="334">
        <f t="shared" si="1"/>
        <v>100</v>
      </c>
      <c r="G13" s="320"/>
      <c r="K13" s="339" t="s">
        <v>243</v>
      </c>
      <c r="L13" s="340"/>
      <c r="M13" s="341"/>
      <c r="N13" s="341"/>
      <c r="O13" s="342"/>
      <c r="T13" s="343"/>
      <c r="U13" s="344"/>
      <c r="V13" s="338"/>
      <c r="W13" s="338"/>
      <c r="X13" s="338"/>
      <c r="Y13" s="345" t="s">
        <v>244</v>
      </c>
      <c r="Z13" s="346" t="e">
        <f>(W17-(V18*U17))/(X17-(V18*V17))</f>
        <v>#NUM!</v>
      </c>
      <c r="AA13" s="338">
        <f>ROUND(AA11,0)-1</f>
        <v>-1</v>
      </c>
      <c r="AB13" s="347" t="e">
        <f>$Z$13+($Z$14*V13)</f>
        <v>#NUM!</v>
      </c>
      <c r="AC13" s="329"/>
    </row>
    <row r="14" spans="2:29" ht="15" customHeight="1">
      <c r="B14" s="315" t="s">
        <v>245</v>
      </c>
      <c r="C14" s="331">
        <v>0</v>
      </c>
      <c r="D14" s="332">
        <f t="shared" si="0"/>
        <v>0</v>
      </c>
      <c r="E14" s="333">
        <f>100*D14/D19</f>
        <v>0</v>
      </c>
      <c r="F14" s="334">
        <f t="shared" si="1"/>
        <v>100</v>
      </c>
      <c r="G14" s="320"/>
      <c r="I14" s="321"/>
      <c r="J14" s="348"/>
      <c r="K14" s="327"/>
      <c r="L14" s="327"/>
      <c r="M14" s="327"/>
      <c r="N14" s="322"/>
      <c r="O14" s="322"/>
      <c r="P14" s="340" t="s">
        <v>220</v>
      </c>
      <c r="T14" s="349">
        <f>J16</f>
        <v>0</v>
      </c>
      <c r="U14" s="350">
        <f>N16</f>
        <v>0</v>
      </c>
      <c r="V14" s="347" t="e">
        <f>LOG(J16)</f>
        <v>#NUM!</v>
      </c>
      <c r="W14" s="347" t="e">
        <f>U14*V14</f>
        <v>#NUM!</v>
      </c>
      <c r="X14" s="347" t="e">
        <f>V14^2</f>
        <v>#NUM!</v>
      </c>
      <c r="Y14" s="345" t="s">
        <v>246</v>
      </c>
      <c r="Z14" s="346" t="e">
        <f>(U17-(Z13*V17))/3</f>
        <v>#NUM!</v>
      </c>
      <c r="AA14" s="338">
        <f>AA$13</f>
        <v>-1</v>
      </c>
      <c r="AB14" s="347" t="e">
        <f>$Z$13+($Z$14*V14)</f>
        <v>#NUM!</v>
      </c>
      <c r="AC14" s="329"/>
    </row>
    <row r="15" spans="2:29" ht="15" customHeight="1">
      <c r="B15" s="315" t="s">
        <v>247</v>
      </c>
      <c r="C15" s="331">
        <v>0</v>
      </c>
      <c r="D15" s="332">
        <f t="shared" si="0"/>
        <v>0</v>
      </c>
      <c r="E15" s="333">
        <f>100*D15/D19</f>
        <v>0</v>
      </c>
      <c r="F15" s="334">
        <f t="shared" si="1"/>
        <v>100</v>
      </c>
      <c r="G15" s="320"/>
      <c r="I15" s="321"/>
      <c r="J15" s="348"/>
      <c r="K15" s="327" t="s">
        <v>320</v>
      </c>
      <c r="L15" s="327"/>
      <c r="M15" s="327"/>
      <c r="N15" s="322"/>
      <c r="O15" s="322"/>
      <c r="P15" s="340" t="s">
        <v>220</v>
      </c>
      <c r="T15" s="349">
        <f>J15</f>
        <v>0</v>
      </c>
      <c r="U15" s="350">
        <f>N15</f>
        <v>0</v>
      </c>
      <c r="V15" s="347" t="e">
        <f>LOG(J15)</f>
        <v>#NUM!</v>
      </c>
      <c r="W15" s="347" t="e">
        <f>U15*V15</f>
        <v>#NUM!</v>
      </c>
      <c r="X15" s="347" t="e">
        <f>V15^2</f>
        <v>#NUM!</v>
      </c>
      <c r="Y15" s="345" t="s">
        <v>249</v>
      </c>
      <c r="Z15" s="346" t="e">
        <f>Z14+(Z13*LOG(25))</f>
        <v>#NUM!</v>
      </c>
      <c r="AA15" s="338">
        <f>AA$13</f>
        <v>-1</v>
      </c>
      <c r="AB15" s="347" t="e">
        <f>$Z$13+($Z$14*V15)</f>
        <v>#NUM!</v>
      </c>
      <c r="AC15" s="329"/>
    </row>
    <row r="16" spans="2:29" ht="15" customHeight="1">
      <c r="B16" s="315" t="s">
        <v>250</v>
      </c>
      <c r="C16" s="331">
        <v>0</v>
      </c>
      <c r="D16" s="332">
        <f t="shared" si="0"/>
        <v>0</v>
      </c>
      <c r="E16" s="333">
        <f>100*D16/D19</f>
        <v>0</v>
      </c>
      <c r="F16" s="334">
        <f t="shared" si="1"/>
        <v>100</v>
      </c>
      <c r="G16" s="320"/>
      <c r="I16" s="321"/>
      <c r="J16" s="348"/>
      <c r="K16" s="327"/>
      <c r="L16" s="327"/>
      <c r="M16" s="327"/>
      <c r="N16" s="322"/>
      <c r="O16" s="336"/>
      <c r="P16" s="340" t="s">
        <v>220</v>
      </c>
      <c r="T16" s="349">
        <f>J14</f>
        <v>0</v>
      </c>
      <c r="U16" s="350">
        <f>N14</f>
        <v>0</v>
      </c>
      <c r="V16" s="347" t="e">
        <f>LOG(J14)</f>
        <v>#NUM!</v>
      </c>
      <c r="W16" s="347" t="e">
        <f>U16*V16</f>
        <v>#NUM!</v>
      </c>
      <c r="X16" s="347" t="e">
        <f>V16^2</f>
        <v>#NUM!</v>
      </c>
      <c r="Y16" s="329"/>
      <c r="Z16" s="329"/>
      <c r="AA16" s="338">
        <f>AA$13</f>
        <v>-1</v>
      </c>
      <c r="AB16" s="347" t="e">
        <f>$Z$13+($Z$14*V16)</f>
        <v>#NUM!</v>
      </c>
      <c r="AC16" s="329"/>
    </row>
    <row r="17" spans="1:29" ht="15" customHeight="1">
      <c r="B17" s="315" t="s">
        <v>252</v>
      </c>
      <c r="C17" s="351">
        <v>0</v>
      </c>
      <c r="D17" s="332">
        <f t="shared" si="0"/>
        <v>0</v>
      </c>
      <c r="E17" s="333">
        <f>100*D17/D19</f>
        <v>0</v>
      </c>
      <c r="F17" s="334">
        <f t="shared" si="1"/>
        <v>100</v>
      </c>
      <c r="G17" s="320"/>
      <c r="I17" s="321"/>
      <c r="J17" s="321"/>
      <c r="K17" s="352"/>
      <c r="L17" s="352"/>
      <c r="M17" s="352"/>
      <c r="N17" s="322"/>
      <c r="O17" s="328"/>
      <c r="P17" s="340" t="s">
        <v>220</v>
      </c>
      <c r="S17" s="353" t="s">
        <v>220</v>
      </c>
      <c r="T17" s="354" t="s">
        <v>253</v>
      </c>
      <c r="U17" s="350">
        <f>SUM(U14:U16)</f>
        <v>0</v>
      </c>
      <c r="V17" s="347" t="e">
        <f>SUM(V14:V16)</f>
        <v>#NUM!</v>
      </c>
      <c r="W17" s="347" t="e">
        <f>SUM(W14:W16)</f>
        <v>#NUM!</v>
      </c>
      <c r="X17" s="347" t="e">
        <f>SUM(X14:X16)</f>
        <v>#NUM!</v>
      </c>
      <c r="Y17" s="329"/>
      <c r="Z17" s="329"/>
      <c r="AA17" s="329"/>
      <c r="AB17" s="329"/>
      <c r="AC17" s="329"/>
    </row>
    <row r="18" spans="1:29" ht="15" customHeight="1">
      <c r="B18" s="315" t="s">
        <v>254</v>
      </c>
      <c r="C18" s="331">
        <v>0</v>
      </c>
      <c r="D18" s="332">
        <f t="shared" si="0"/>
        <v>0</v>
      </c>
      <c r="E18" s="333">
        <f>100*D18/D19</f>
        <v>0</v>
      </c>
      <c r="F18" s="334">
        <f t="shared" si="1"/>
        <v>100</v>
      </c>
      <c r="G18" s="320"/>
      <c r="I18" s="321"/>
      <c r="J18" s="321"/>
      <c r="K18" s="352"/>
      <c r="L18" s="352"/>
      <c r="M18" s="352"/>
      <c r="N18" s="322"/>
      <c r="O18" s="336"/>
      <c r="P18" s="340" t="s">
        <v>220</v>
      </c>
      <c r="T18" s="354" t="s">
        <v>255</v>
      </c>
      <c r="U18" s="350">
        <f>U17/3</f>
        <v>0</v>
      </c>
      <c r="V18" s="347" t="e">
        <f>V17/3</f>
        <v>#NUM!</v>
      </c>
      <c r="W18" s="355"/>
      <c r="X18" s="355"/>
      <c r="Y18" s="329"/>
      <c r="Z18" s="329"/>
      <c r="AA18" s="329"/>
      <c r="AB18" s="329"/>
      <c r="AC18" s="329"/>
    </row>
    <row r="19" spans="1:29" ht="15" customHeight="1" thickBot="1">
      <c r="B19" s="356" t="s">
        <v>256</v>
      </c>
      <c r="C19" s="357">
        <v>0</v>
      </c>
      <c r="D19" s="358">
        <v>1</v>
      </c>
      <c r="E19" s="359">
        <f>100*C19/D19</f>
        <v>0</v>
      </c>
      <c r="F19" s="360"/>
      <c r="G19" s="361"/>
      <c r="J19" s="362"/>
      <c r="K19" s="363" t="s">
        <v>257</v>
      </c>
      <c r="L19" s="340"/>
      <c r="M19" s="341"/>
      <c r="N19" s="341"/>
      <c r="O19" s="342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</row>
    <row r="20" spans="1:29" ht="15" customHeight="1">
      <c r="B20" s="364" t="s">
        <v>258</v>
      </c>
      <c r="C20" s="365"/>
      <c r="D20" s="366"/>
      <c r="E20" s="444"/>
      <c r="F20" s="368"/>
      <c r="G20" s="369"/>
      <c r="I20" s="321"/>
      <c r="J20" s="326"/>
      <c r="K20" s="327"/>
      <c r="L20" s="327"/>
      <c r="M20" s="327"/>
      <c r="N20" s="322"/>
      <c r="O20" s="328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</row>
    <row r="21" spans="1:29" ht="15" customHeight="1">
      <c r="B21" s="315" t="s">
        <v>259</v>
      </c>
      <c r="C21" s="331">
        <v>11.76</v>
      </c>
      <c r="D21" s="332">
        <f>C21</f>
        <v>11.76</v>
      </c>
      <c r="E21" s="332">
        <f>100*D21/D24</f>
        <v>6.3457727155060848</v>
      </c>
      <c r="F21" s="370">
        <f>((100-E21)*F18)/100</f>
        <v>93.654227284493913</v>
      </c>
      <c r="G21" s="320"/>
      <c r="I21" s="321"/>
      <c r="J21" s="326"/>
      <c r="K21" s="327"/>
      <c r="L21" s="327"/>
      <c r="M21" s="327"/>
      <c r="N21" s="322"/>
      <c r="O21" s="328"/>
      <c r="T21" s="329"/>
      <c r="U21" s="329"/>
      <c r="V21" s="329"/>
      <c r="W21" s="371" t="s">
        <v>260</v>
      </c>
      <c r="X21" s="371" t="s">
        <v>261</v>
      </c>
      <c r="Y21" s="371" t="s">
        <v>262</v>
      </c>
      <c r="Z21" s="371" t="s">
        <v>263</v>
      </c>
      <c r="AA21" s="329"/>
      <c r="AB21" s="329"/>
      <c r="AC21" s="329"/>
    </row>
    <row r="22" spans="1:29" ht="15" customHeight="1">
      <c r="B22" s="315" t="s">
        <v>264</v>
      </c>
      <c r="C22" s="331">
        <v>46.32</v>
      </c>
      <c r="D22" s="332">
        <f>C22+D21</f>
        <v>58.08</v>
      </c>
      <c r="E22" s="332">
        <f>100*D22/D24</f>
        <v>31.340346880662704</v>
      </c>
      <c r="F22" s="370">
        <f>((100-E22)*F18)/100</f>
        <v>68.659653119337293</v>
      </c>
      <c r="G22" s="372"/>
      <c r="I22" s="321"/>
      <c r="J22" s="326"/>
      <c r="K22" s="327"/>
      <c r="L22" s="327"/>
      <c r="M22" s="327"/>
      <c r="N22" s="322"/>
      <c r="O22" s="323"/>
      <c r="T22" s="329"/>
      <c r="U22" s="329"/>
      <c r="V22" s="371" t="s">
        <v>265</v>
      </c>
      <c r="W22" s="350">
        <f>F23-35</f>
        <v>-23.835421951850904</v>
      </c>
      <c r="X22" s="350">
        <f>F23-15</f>
        <v>-3.8354219518509041</v>
      </c>
      <c r="Y22" s="347">
        <f>O18-40</f>
        <v>-40</v>
      </c>
      <c r="Z22" s="347">
        <f>G39-10</f>
        <v>-10</v>
      </c>
      <c r="AA22" s="329"/>
      <c r="AB22" s="329"/>
      <c r="AC22" s="329"/>
    </row>
    <row r="23" spans="1:29" ht="15" customHeight="1">
      <c r="B23" s="315" t="s">
        <v>266</v>
      </c>
      <c r="C23" s="331">
        <v>106.55</v>
      </c>
      <c r="D23" s="332">
        <f>C23+D22</f>
        <v>164.63</v>
      </c>
      <c r="E23" s="332">
        <f>100*D23/D24</f>
        <v>88.835421951850904</v>
      </c>
      <c r="F23" s="370">
        <f>((100-E23)*F18)/100</f>
        <v>11.164578048149096</v>
      </c>
      <c r="G23" s="373"/>
      <c r="I23" s="321"/>
      <c r="J23" s="326"/>
      <c r="K23" s="352"/>
      <c r="L23" s="352"/>
      <c r="M23" s="352"/>
      <c r="N23" s="322"/>
      <c r="O23" s="336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</row>
    <row r="24" spans="1:29" ht="15" customHeight="1">
      <c r="B24" s="315" t="s">
        <v>267</v>
      </c>
      <c r="C24" s="374">
        <f>F32</f>
        <v>20.690220676421177</v>
      </c>
      <c r="D24" s="334">
        <f>C24+D23</f>
        <v>185.32022067642117</v>
      </c>
      <c r="E24" s="332"/>
      <c r="F24" s="375" t="s">
        <v>220</v>
      </c>
      <c r="G24" s="320"/>
      <c r="O24" s="307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</row>
    <row r="25" spans="1:29" ht="15" customHeight="1">
      <c r="B25" s="376" t="s">
        <v>268</v>
      </c>
      <c r="C25" s="370">
        <f>F30</f>
        <v>185.32022067642117</v>
      </c>
      <c r="D25" s="377"/>
      <c r="E25" s="377"/>
      <c r="F25" s="377"/>
      <c r="G25" s="378"/>
      <c r="O25" s="307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</row>
    <row r="26" spans="1:29" ht="15" customHeight="1">
      <c r="A26" s="307"/>
      <c r="B26" s="305"/>
      <c r="O26" s="307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</row>
    <row r="27" spans="1:29" ht="15" customHeight="1">
      <c r="A27" s="307"/>
      <c r="B27" s="305"/>
      <c r="O27" s="307"/>
      <c r="T27" s="329"/>
      <c r="U27" s="329"/>
      <c r="V27" s="371" t="s">
        <v>269</v>
      </c>
      <c r="W27" s="379">
        <f>IF(W22&lt;0,0,W22)</f>
        <v>0</v>
      </c>
      <c r="X27" s="379">
        <f>IF(X22&lt;0,0,X22)</f>
        <v>0</v>
      </c>
      <c r="Y27" s="379">
        <f>IF(Y22&lt;0,0,Y22)</f>
        <v>0</v>
      </c>
      <c r="Z27" s="379">
        <f>IF(Z22&lt;0,0,Z22)</f>
        <v>0</v>
      </c>
      <c r="AA27" s="329"/>
      <c r="AB27" s="329"/>
      <c r="AC27" s="329"/>
    </row>
    <row r="28" spans="1:29" ht="15" customHeight="1">
      <c r="B28" s="305"/>
      <c r="I28" s="380" t="s">
        <v>270</v>
      </c>
      <c r="J28" s="381"/>
      <c r="K28" s="381"/>
      <c r="L28" s="381"/>
      <c r="M28" s="381"/>
      <c r="N28" s="381"/>
      <c r="O28" s="382"/>
      <c r="T28" s="329"/>
      <c r="U28" s="329"/>
      <c r="V28" s="371" t="s">
        <v>271</v>
      </c>
      <c r="W28" s="379">
        <f>IF(W27&gt;40,40,W27)</f>
        <v>0</v>
      </c>
      <c r="X28" s="379">
        <f>IF(X27&gt;40,40,X27)</f>
        <v>0</v>
      </c>
      <c r="Y28" s="379">
        <f>IF(Y27&gt;20,20,Y27)</f>
        <v>0</v>
      </c>
      <c r="Z28" s="379">
        <f>IF(Z27&gt;20,20,Z27)</f>
        <v>0</v>
      </c>
      <c r="AA28" s="329"/>
      <c r="AB28" s="329"/>
      <c r="AC28" s="329"/>
    </row>
    <row r="29" spans="1:29" ht="15" customHeight="1">
      <c r="B29" s="305"/>
      <c r="E29" s="285" t="s">
        <v>272</v>
      </c>
      <c r="I29" s="383"/>
      <c r="J29" s="384"/>
      <c r="K29" s="384"/>
      <c r="L29" s="384"/>
      <c r="M29" s="384"/>
      <c r="N29" s="384"/>
      <c r="O29" s="385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</row>
    <row r="30" spans="1:29" ht="15" customHeight="1">
      <c r="B30" s="305"/>
      <c r="C30" s="386" t="s">
        <v>273</v>
      </c>
      <c r="D30" s="387">
        <v>200</v>
      </c>
      <c r="E30" s="388" t="s">
        <v>274</v>
      </c>
      <c r="F30" s="445">
        <f>D30/(O12+100)*100</f>
        <v>185.32022067642117</v>
      </c>
      <c r="G30" s="285" t="s">
        <v>145</v>
      </c>
      <c r="I30" s="383"/>
      <c r="J30" s="384"/>
      <c r="K30" s="384"/>
      <c r="L30" s="384"/>
      <c r="M30" s="384"/>
      <c r="N30" s="384"/>
      <c r="O30" s="385"/>
      <c r="T30" s="329"/>
      <c r="U30" s="329"/>
      <c r="V30" s="329"/>
      <c r="W30" s="390" t="s">
        <v>275</v>
      </c>
      <c r="X30" s="390" t="s">
        <v>276</v>
      </c>
      <c r="Y30" s="390" t="s">
        <v>277</v>
      </c>
      <c r="Z30" s="391" t="s">
        <v>278</v>
      </c>
      <c r="AA30" s="329"/>
      <c r="AB30" s="329"/>
      <c r="AC30" s="329"/>
    </row>
    <row r="31" spans="1:29" ht="15" customHeight="1">
      <c r="B31" s="305"/>
      <c r="E31" s="285" t="s">
        <v>279</v>
      </c>
      <c r="F31" s="392">
        <f>D23</f>
        <v>164.63</v>
      </c>
      <c r="G31" s="285" t="s">
        <v>145</v>
      </c>
      <c r="I31" s="383"/>
      <c r="J31" s="384"/>
      <c r="K31" s="384"/>
      <c r="L31" s="384"/>
      <c r="M31" s="384"/>
      <c r="N31" s="384"/>
      <c r="O31" s="385"/>
      <c r="T31" s="329"/>
      <c r="U31" s="329"/>
      <c r="V31" s="393"/>
      <c r="W31" s="338"/>
      <c r="X31" s="338"/>
      <c r="Y31" s="338"/>
      <c r="Z31" s="394"/>
      <c r="AA31" s="329"/>
      <c r="AB31" s="329"/>
      <c r="AC31" s="329"/>
    </row>
    <row r="32" spans="1:29" ht="15" customHeight="1">
      <c r="B32" s="305"/>
      <c r="F32" s="395">
        <f>F30-F31</f>
        <v>20.690220676421177</v>
      </c>
      <c r="I32" s="383"/>
      <c r="J32" s="384"/>
      <c r="K32" s="384"/>
      <c r="L32" s="384"/>
      <c r="M32" s="384"/>
      <c r="N32" s="384"/>
      <c r="O32" s="385"/>
      <c r="T32" s="329"/>
      <c r="U32" s="329"/>
      <c r="V32" s="393" t="s">
        <v>280</v>
      </c>
      <c r="W32" s="346">
        <f>(0.2*W28)</f>
        <v>0</v>
      </c>
      <c r="X32" s="346">
        <f>(0.005*W28*Y28)</f>
        <v>0</v>
      </c>
      <c r="Y32" s="346">
        <f>(0.01*X28*Z28)</f>
        <v>0</v>
      </c>
      <c r="Z32" s="396">
        <f>(W32+X32+Y32)</f>
        <v>0</v>
      </c>
      <c r="AA32" s="329"/>
      <c r="AB32" s="329"/>
      <c r="AC32" s="329"/>
    </row>
    <row r="33" spans="2:29" ht="15" customHeight="1">
      <c r="B33" s="397" t="s">
        <v>281</v>
      </c>
      <c r="C33" s="398">
        <f>100-F18</f>
        <v>0</v>
      </c>
      <c r="D33" s="306"/>
      <c r="I33" s="399"/>
      <c r="J33" s="400"/>
      <c r="K33" s="400"/>
      <c r="L33" s="400"/>
      <c r="M33" s="400"/>
      <c r="N33" s="400"/>
      <c r="O33" s="401"/>
      <c r="T33" s="329"/>
      <c r="U33" s="329"/>
      <c r="V33" s="329"/>
      <c r="W33" s="329"/>
      <c r="X33" s="329"/>
      <c r="Y33" s="329"/>
      <c r="Z33" s="329"/>
      <c r="AA33" s="394"/>
      <c r="AB33" s="329"/>
      <c r="AC33" s="329"/>
    </row>
    <row r="34" spans="2:29" ht="15" customHeight="1">
      <c r="B34" s="397" t="s">
        <v>282</v>
      </c>
      <c r="C34" s="398">
        <f>100-C33-C35</f>
        <v>88.835421951850904</v>
      </c>
      <c r="D34" s="306"/>
      <c r="I34" s="402"/>
      <c r="J34" s="403"/>
      <c r="K34" s="403"/>
      <c r="L34" s="403"/>
      <c r="M34" s="403"/>
      <c r="N34" s="403"/>
      <c r="O34" s="404"/>
      <c r="T34" s="329"/>
      <c r="U34" s="329"/>
      <c r="V34" s="405" t="s">
        <v>283</v>
      </c>
      <c r="W34" s="406"/>
      <c r="X34" s="407">
        <f>0.73*(G38-20)</f>
        <v>-14.6</v>
      </c>
      <c r="Y34" s="408"/>
      <c r="Z34" s="409"/>
      <c r="AA34" s="329"/>
      <c r="AB34" s="329"/>
      <c r="AC34" s="329"/>
    </row>
    <row r="35" spans="2:29" ht="15" customHeight="1">
      <c r="B35" s="397" t="s">
        <v>284</v>
      </c>
      <c r="C35" s="398">
        <f>F23</f>
        <v>11.164578048149096</v>
      </c>
      <c r="D35" s="306"/>
      <c r="I35" s="410"/>
      <c r="J35" s="288"/>
      <c r="K35" s="288"/>
      <c r="L35" s="288"/>
      <c r="M35" s="288"/>
      <c r="N35" s="288"/>
      <c r="O35" s="293"/>
      <c r="T35" s="329"/>
      <c r="U35" s="329"/>
      <c r="V35" s="411" t="str">
        <f>IF(C35&gt;49,W35,V37)</f>
        <v>SM</v>
      </c>
      <c r="W35" s="407" t="str">
        <f>IF(G38&gt;49,X35,Y35)</f>
        <v>ML</v>
      </c>
      <c r="X35" s="407" t="str">
        <f>IF(G39&lt;X34,AB35,AB36)</f>
        <v>CH</v>
      </c>
      <c r="Y35" s="407" t="str">
        <f>IF(G38&gt;24,Z35,AA35)</f>
        <v>ML</v>
      </c>
      <c r="Z35" s="407" t="str">
        <f>IF(G39&lt;X34,AB37,AB39)</f>
        <v>CL</v>
      </c>
      <c r="AA35" s="407" t="str">
        <f>IF(G39&lt;4,AB37,AB39)</f>
        <v>ML</v>
      </c>
      <c r="AB35" s="412" t="s">
        <v>136</v>
      </c>
      <c r="AC35" s="329"/>
    </row>
    <row r="36" spans="2:29" ht="15" customHeight="1">
      <c r="B36" s="413"/>
      <c r="C36" s="306"/>
      <c r="D36" s="306"/>
      <c r="E36" s="414"/>
      <c r="F36" s="414"/>
      <c r="G36" s="414"/>
      <c r="H36" s="414"/>
      <c r="I36" s="410"/>
      <c r="J36" s="288"/>
      <c r="K36" s="288"/>
      <c r="L36" s="288"/>
      <c r="M36" s="288"/>
      <c r="N36" s="288"/>
      <c r="O36" s="293"/>
      <c r="T36" s="329"/>
      <c r="U36" s="329"/>
      <c r="V36" s="415"/>
      <c r="W36" s="329"/>
      <c r="X36" s="329"/>
      <c r="Y36" s="329"/>
      <c r="Z36" s="329"/>
      <c r="AA36" s="329"/>
      <c r="AB36" s="416" t="s">
        <v>285</v>
      </c>
      <c r="AC36" s="329"/>
    </row>
    <row r="37" spans="2:29" ht="15" customHeight="1">
      <c r="B37" s="524"/>
      <c r="C37" s="525"/>
      <c r="D37" s="525"/>
      <c r="E37" s="386" t="s">
        <v>286</v>
      </c>
      <c r="F37" s="417"/>
      <c r="G37" s="418">
        <f>(O12)</f>
        <v>7.9213046854776152</v>
      </c>
      <c r="H37" s="417" t="s">
        <v>71</v>
      </c>
      <c r="I37" s="410"/>
      <c r="J37" s="288"/>
      <c r="K37" s="288"/>
      <c r="L37" s="288"/>
      <c r="M37" s="288"/>
      <c r="N37" s="288"/>
      <c r="O37" s="293"/>
      <c r="T37" s="329"/>
      <c r="U37" s="329"/>
      <c r="V37" s="419" t="str">
        <f>IF(F23&lt;5,W37,V40)</f>
        <v>SM</v>
      </c>
      <c r="W37" s="338" t="str">
        <f>IF($C$33&gt;=$C$34,AB40,AB41)</f>
        <v>SW o SP</v>
      </c>
      <c r="X37" s="329"/>
      <c r="Y37" s="329"/>
      <c r="Z37" s="329"/>
      <c r="AA37" s="329"/>
      <c r="AB37" s="416" t="s">
        <v>287</v>
      </c>
      <c r="AC37" s="329"/>
    </row>
    <row r="38" spans="2:29" ht="15" customHeight="1">
      <c r="B38" s="420" t="s">
        <v>288</v>
      </c>
      <c r="C38" s="421"/>
      <c r="D38" s="421"/>
      <c r="E38" s="386" t="s">
        <v>289</v>
      </c>
      <c r="F38" s="388"/>
      <c r="G38" s="422">
        <f>(O18)</f>
        <v>0</v>
      </c>
      <c r="H38" s="388" t="s">
        <v>71</v>
      </c>
      <c r="I38" s="410"/>
      <c r="J38" s="288"/>
      <c r="K38" s="288"/>
      <c r="L38" s="288"/>
      <c r="M38" s="288"/>
      <c r="N38" s="288"/>
      <c r="O38" s="293"/>
      <c r="T38" s="329"/>
      <c r="U38" s="329"/>
      <c r="V38" s="415"/>
      <c r="W38" s="329"/>
      <c r="X38" s="329"/>
      <c r="Y38" s="329"/>
      <c r="Z38" s="329"/>
      <c r="AA38" s="329"/>
      <c r="AB38" s="423"/>
      <c r="AC38" s="329"/>
    </row>
    <row r="39" spans="2:29" ht="15" customHeight="1">
      <c r="B39" s="424" t="s">
        <v>290</v>
      </c>
      <c r="C39" s="417"/>
      <c r="D39" s="425" t="str">
        <f>V35</f>
        <v>SM</v>
      </c>
      <c r="E39" s="386" t="s">
        <v>291</v>
      </c>
      <c r="F39" s="388"/>
      <c r="G39" s="422">
        <f>(O18-O23)</f>
        <v>0</v>
      </c>
      <c r="H39" s="388" t="s">
        <v>220</v>
      </c>
      <c r="I39" s="410"/>
      <c r="J39" s="288" t="s">
        <v>292</v>
      </c>
      <c r="K39" s="288"/>
      <c r="L39" s="288"/>
      <c r="M39" s="288"/>
      <c r="N39" s="288" t="s">
        <v>293</v>
      </c>
      <c r="O39" s="293"/>
      <c r="T39" s="329"/>
      <c r="U39" s="329"/>
      <c r="V39" s="415"/>
      <c r="W39" s="329"/>
      <c r="X39" s="329"/>
      <c r="Y39" s="329"/>
      <c r="Z39" s="329"/>
      <c r="AA39" s="329"/>
      <c r="AB39" s="416" t="s">
        <v>294</v>
      </c>
      <c r="AC39" s="329"/>
    </row>
    <row r="40" spans="2:29" ht="15" customHeight="1">
      <c r="B40" s="426" t="s">
        <v>295</v>
      </c>
      <c r="C40" s="388"/>
      <c r="D40" s="427" t="str">
        <f>V46</f>
        <v>A-2-4</v>
      </c>
      <c r="E40" s="428" t="s">
        <v>296</v>
      </c>
      <c r="F40" s="414"/>
      <c r="G40" s="429">
        <f>Z32</f>
        <v>0</v>
      </c>
      <c r="H40" s="414" t="s">
        <v>220</v>
      </c>
      <c r="I40" s="430"/>
      <c r="J40" s="431"/>
      <c r="K40" s="431"/>
      <c r="L40" s="431"/>
      <c r="M40" s="431"/>
      <c r="N40" s="431"/>
      <c r="O40" s="432"/>
      <c r="T40" s="329"/>
      <c r="U40" s="329"/>
      <c r="V40" s="419" t="str">
        <f>IF(G38&gt;24,W40,W42)</f>
        <v>SM</v>
      </c>
      <c r="W40" s="338" t="str">
        <f>IF(G39&lt;X34,X40,Y40)</f>
        <v>SC</v>
      </c>
      <c r="X40" s="338" t="str">
        <f>IF($C$33&gt;=$C$34,AB42,AB43)</f>
        <v>SM</v>
      </c>
      <c r="Y40" s="338" t="str">
        <f>IF($C$33&gt;=$C$34,AB44,AB45)</f>
        <v>SC</v>
      </c>
      <c r="Z40" s="329"/>
      <c r="AA40" s="329"/>
      <c r="AB40" s="416" t="s">
        <v>297</v>
      </c>
      <c r="AC40" s="329"/>
    </row>
    <row r="41" spans="2:29">
      <c r="T41" s="329"/>
      <c r="U41" s="329"/>
      <c r="V41" s="415"/>
      <c r="W41" s="329"/>
      <c r="X41" s="329"/>
      <c r="Y41" s="329"/>
      <c r="Z41" s="329"/>
      <c r="AA41" s="329"/>
      <c r="AB41" s="416" t="s">
        <v>298</v>
      </c>
      <c r="AC41" s="329"/>
    </row>
    <row r="42" spans="2:29">
      <c r="T42" s="329"/>
      <c r="U42" s="329"/>
      <c r="V42" s="415"/>
      <c r="W42" s="338" t="str">
        <f>IF(G39&lt;4,X42,Y42)</f>
        <v>SM</v>
      </c>
      <c r="X42" s="338" t="str">
        <f>IF($C$33&gt;=$C$34,AB42,AB43)</f>
        <v>SM</v>
      </c>
      <c r="Y42" s="338" t="str">
        <f>IF($C$33&gt;=$C$34,AB44,AB45)</f>
        <v>SC</v>
      </c>
      <c r="Z42" s="329"/>
      <c r="AA42" s="329"/>
      <c r="AB42" s="416" t="s">
        <v>299</v>
      </c>
      <c r="AC42" s="329"/>
    </row>
    <row r="43" spans="2:29">
      <c r="T43" s="329"/>
      <c r="U43" s="329"/>
      <c r="V43" s="415"/>
      <c r="W43" s="329"/>
      <c r="X43" s="329"/>
      <c r="Y43" s="329"/>
      <c r="Z43" s="329"/>
      <c r="AA43" s="329"/>
      <c r="AB43" s="416" t="s">
        <v>300</v>
      </c>
      <c r="AC43" s="329"/>
    </row>
    <row r="44" spans="2:29">
      <c r="T44" s="329"/>
      <c r="U44" s="329"/>
      <c r="V44" s="415"/>
      <c r="W44" s="329"/>
      <c r="X44" s="329"/>
      <c r="Y44" s="329"/>
      <c r="Z44" s="329"/>
      <c r="AA44" s="329"/>
      <c r="AB44" s="416" t="s">
        <v>301</v>
      </c>
      <c r="AC44" s="329"/>
    </row>
    <row r="45" spans="2:29">
      <c r="T45" s="329"/>
      <c r="U45" s="329"/>
      <c r="V45" s="415"/>
      <c r="W45" s="329"/>
      <c r="X45" s="329"/>
      <c r="Y45" s="329"/>
      <c r="Z45" s="329"/>
      <c r="AA45" s="329"/>
      <c r="AB45" s="416" t="s">
        <v>302</v>
      </c>
      <c r="AC45" s="329"/>
    </row>
    <row r="46" spans="2:29">
      <c r="T46" s="329"/>
      <c r="U46" s="329"/>
      <c r="V46" s="433" t="str">
        <f>IF(F21&gt;50,W46,V47)</f>
        <v>A-2-4</v>
      </c>
      <c r="W46" s="434" t="str">
        <f>IF(F22&gt;50,X46,W47)</f>
        <v>A-2-4</v>
      </c>
      <c r="X46" s="434" t="str">
        <f>IF(F23&gt;10,Y46,X47)</f>
        <v>A-2-4</v>
      </c>
      <c r="Y46" s="434" t="str">
        <f>IF(F23&gt;35,AA46,Y47)</f>
        <v>A-2-4</v>
      </c>
      <c r="Z46" s="434"/>
      <c r="AA46" s="434" t="str">
        <f>IF(G38&gt;40,AB46,AA47)</f>
        <v>A-4</v>
      </c>
      <c r="AB46" s="435" t="str">
        <f>IF(G39&gt;10,AB47,"A-5")</f>
        <v>A-5</v>
      </c>
      <c r="AC46" s="329"/>
    </row>
    <row r="47" spans="2:29">
      <c r="T47" s="329"/>
      <c r="U47" s="329"/>
      <c r="V47" s="433" t="str">
        <f>IF(F22&gt;30,W46,V48)</f>
        <v>A-2-4</v>
      </c>
      <c r="W47" s="434" t="str">
        <f>IF(F23&gt;25,X46,W48)</f>
        <v>A-1-b</v>
      </c>
      <c r="X47" s="434" t="str">
        <f>IF(G39&gt;0,Y46,"A-3")</f>
        <v>A-3</v>
      </c>
      <c r="Y47" s="434" t="str">
        <f>IF(G38&gt;40,Z47,Y48)</f>
        <v>A-2-4</v>
      </c>
      <c r="Z47" s="434" t="str">
        <f>IF(G39&gt;10,"A-2-7","A-2-5")</f>
        <v>A-2-5</v>
      </c>
      <c r="AA47" s="434" t="str">
        <f>IF(G39&gt;10,"A-6","A-4")</f>
        <v>A-4</v>
      </c>
      <c r="AB47" s="435" t="str">
        <f>IF(G39&gt;(G38-30),"A-7-6","A-7-5")</f>
        <v>A-7-6</v>
      </c>
      <c r="AC47" s="329"/>
    </row>
    <row r="48" spans="2:29">
      <c r="T48" s="329"/>
      <c r="U48" s="329"/>
      <c r="V48" s="433" t="str">
        <f>IF(F23&gt;15,W46,V49)</f>
        <v>A-1-a</v>
      </c>
      <c r="W48" s="434" t="str">
        <f>IF(G39&gt;6,X46,"A-1-b")</f>
        <v>A-1-b</v>
      </c>
      <c r="X48" s="434"/>
      <c r="Y48" s="434" t="str">
        <f>IF(G39&gt;10,"A-2-6","A-2-4")</f>
        <v>A-2-4</v>
      </c>
      <c r="Z48" s="434"/>
      <c r="AA48" s="434"/>
      <c r="AB48" s="436"/>
      <c r="AC48" s="329"/>
    </row>
    <row r="49" spans="20:32">
      <c r="T49" s="329"/>
      <c r="U49" s="329"/>
      <c r="V49" s="437" t="str">
        <f>IF(G39&gt;6,W46,"A-1-a")</f>
        <v>A-1-a</v>
      </c>
      <c r="W49" s="438"/>
      <c r="X49" s="438"/>
      <c r="Y49" s="438"/>
      <c r="Z49" s="438"/>
      <c r="AA49" s="438"/>
      <c r="AB49" s="439"/>
      <c r="AC49" s="329"/>
    </row>
    <row r="50" spans="20:32">
      <c r="T50" s="329"/>
      <c r="U50" s="329"/>
      <c r="V50" s="338"/>
      <c r="W50" s="329"/>
      <c r="X50" s="338"/>
      <c r="Y50" s="329"/>
      <c r="Z50" s="329"/>
      <c r="AA50" s="329"/>
      <c r="AB50" s="393"/>
      <c r="AC50" s="393"/>
      <c r="AD50" s="393"/>
      <c r="AE50" s="393"/>
      <c r="AF50" s="393"/>
    </row>
    <row r="51" spans="20:32">
      <c r="T51" s="329"/>
      <c r="U51" s="329"/>
      <c r="V51" s="329"/>
      <c r="W51" s="329"/>
      <c r="X51" s="329"/>
      <c r="Y51" s="329"/>
      <c r="Z51" s="329"/>
      <c r="AA51" s="329"/>
      <c r="AB51" s="393"/>
      <c r="AC51" s="329"/>
    </row>
    <row r="52" spans="20:32">
      <c r="T52" s="329"/>
      <c r="U52" s="329"/>
      <c r="V52" s="338"/>
      <c r="W52" s="329"/>
      <c r="X52" s="338"/>
      <c r="Y52" s="329"/>
      <c r="Z52" s="329"/>
      <c r="AA52" s="329"/>
      <c r="AB52" s="393"/>
      <c r="AC52" s="329"/>
    </row>
    <row r="53" spans="20:32">
      <c r="T53" s="329"/>
      <c r="U53" s="329"/>
      <c r="V53" s="329"/>
      <c r="W53" s="329"/>
      <c r="X53" s="329"/>
      <c r="Y53" s="329"/>
      <c r="Z53" s="329"/>
      <c r="AA53" s="329"/>
      <c r="AB53" s="393"/>
      <c r="AC53" s="329"/>
    </row>
    <row r="54" spans="20:32">
      <c r="T54" s="329"/>
      <c r="U54" s="329"/>
      <c r="V54" s="329"/>
      <c r="W54" s="329"/>
      <c r="X54" s="329"/>
      <c r="Y54" s="329"/>
      <c r="Z54" s="329"/>
      <c r="AA54" s="329"/>
      <c r="AB54" s="393"/>
      <c r="AC54" s="393"/>
      <c r="AD54" s="393"/>
    </row>
    <row r="55" spans="20:32">
      <c r="T55" s="329"/>
      <c r="U55" s="329"/>
      <c r="V55" s="329"/>
      <c r="W55" s="329"/>
      <c r="X55" s="329"/>
      <c r="Y55" s="329"/>
      <c r="Z55" s="329"/>
      <c r="AA55" s="329"/>
      <c r="AB55" s="329"/>
      <c r="AC55" s="329"/>
    </row>
    <row r="56" spans="20:32">
      <c r="T56" s="329"/>
      <c r="U56" s="329"/>
      <c r="V56" s="329"/>
      <c r="W56" s="329"/>
      <c r="Y56" s="440"/>
      <c r="Z56" s="434"/>
      <c r="AA56" s="329"/>
      <c r="AB56" s="329"/>
      <c r="AC56" s="329"/>
    </row>
    <row r="57" spans="20:32">
      <c r="Y57" s="440"/>
      <c r="Z57" s="441"/>
    </row>
    <row r="58" spans="20:32">
      <c r="Y58" s="440"/>
      <c r="Z58" s="441"/>
    </row>
    <row r="59" spans="20:32">
      <c r="Y59" s="340"/>
      <c r="Z59" s="441"/>
    </row>
    <row r="60" spans="20:32">
      <c r="Y60" s="340"/>
      <c r="Z60" s="441"/>
    </row>
    <row r="83" spans="24:26">
      <c r="X83" s="285" t="s">
        <v>278</v>
      </c>
      <c r="Y83" s="442">
        <f>G40</f>
        <v>0</v>
      </c>
      <c r="Z83" s="441" t="s">
        <v>303</v>
      </c>
    </row>
    <row r="101" spans="2:3">
      <c r="B101" s="443">
        <f>(J14)</f>
        <v>0</v>
      </c>
      <c r="C101" s="353">
        <f>(N14)</f>
        <v>0</v>
      </c>
    </row>
    <row r="102" spans="2:3">
      <c r="B102" s="443">
        <f>(J15)</f>
        <v>0</v>
      </c>
      <c r="C102" s="353">
        <f>(N15)</f>
        <v>0</v>
      </c>
    </row>
    <row r="103" spans="2:3">
      <c r="B103" s="443">
        <f>(J16)</f>
        <v>0</v>
      </c>
      <c r="C103" s="353">
        <f>(N16)</f>
        <v>0</v>
      </c>
    </row>
    <row r="104" spans="2:3">
      <c r="B104" s="443"/>
      <c r="C104" s="353"/>
    </row>
  </sheetData>
  <mergeCells count="5">
    <mergeCell ref="B1:O1"/>
    <mergeCell ref="B2:O2"/>
    <mergeCell ref="D7:F7"/>
    <mergeCell ref="B8:B9"/>
    <mergeCell ref="B37:D37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4"/>
  <sheetViews>
    <sheetView topLeftCell="A40" workbookViewId="0">
      <selection activeCell="E31" sqref="E31"/>
    </sheetView>
  </sheetViews>
  <sheetFormatPr baseColWidth="10" defaultRowHeight="12.75"/>
  <cols>
    <col min="1" max="1" width="3.85546875" style="1" customWidth="1"/>
    <col min="2" max="16384" width="11.42578125" style="1"/>
  </cols>
  <sheetData>
    <row r="2" spans="2:9" ht="13.5" thickBot="1"/>
    <row r="3" spans="2:9">
      <c r="B3" s="2"/>
      <c r="C3" s="3"/>
      <c r="D3" s="4"/>
      <c r="E3" s="4"/>
      <c r="F3" s="4"/>
      <c r="G3" s="4"/>
      <c r="H3" s="4"/>
      <c r="I3" s="3"/>
    </row>
    <row r="4" spans="2:9" ht="15.75">
      <c r="B4" s="5"/>
      <c r="C4" s="6"/>
      <c r="D4" s="28" t="s">
        <v>0</v>
      </c>
      <c r="E4" s="8"/>
      <c r="F4" s="8"/>
      <c r="G4" s="8"/>
      <c r="H4" s="8"/>
      <c r="I4" s="6"/>
    </row>
    <row r="5" spans="2:9">
      <c r="B5" s="5"/>
      <c r="C5" s="6"/>
      <c r="D5" s="8"/>
      <c r="E5" s="8"/>
      <c r="F5" s="8"/>
      <c r="G5" s="8"/>
      <c r="H5" s="8"/>
      <c r="I5" s="6"/>
    </row>
    <row r="6" spans="2:9" ht="13.5" thickBot="1">
      <c r="B6" s="9"/>
      <c r="C6" s="10"/>
      <c r="D6" s="11" t="s">
        <v>1</v>
      </c>
      <c r="E6" s="12"/>
      <c r="F6" s="12"/>
      <c r="G6" s="13" t="s">
        <v>2</v>
      </c>
      <c r="H6" s="14"/>
      <c r="I6" s="10"/>
    </row>
    <row r="7" spans="2:9">
      <c r="B7" s="5"/>
      <c r="C7" s="8"/>
      <c r="D7" s="8"/>
      <c r="E7" s="8"/>
      <c r="F7" s="8"/>
      <c r="G7" s="8"/>
      <c r="H7" s="8"/>
      <c r="I7" s="6"/>
    </row>
    <row r="8" spans="2:9">
      <c r="B8" s="5" t="s">
        <v>3</v>
      </c>
      <c r="C8" s="15" t="s">
        <v>305</v>
      </c>
      <c r="D8" s="15"/>
      <c r="E8" s="15"/>
      <c r="F8" s="15"/>
      <c r="G8" s="15"/>
      <c r="H8" s="15"/>
      <c r="I8" s="16"/>
    </row>
    <row r="9" spans="2:9">
      <c r="B9" s="5"/>
      <c r="C9" s="15"/>
      <c r="D9" s="15"/>
      <c r="E9" s="15"/>
      <c r="F9" s="15"/>
      <c r="G9" s="15"/>
      <c r="H9" s="15"/>
      <c r="I9" s="16">
        <v>2</v>
      </c>
    </row>
    <row r="10" spans="2:9">
      <c r="B10" s="5" t="s">
        <v>4</v>
      </c>
      <c r="C10" s="15" t="s">
        <v>306</v>
      </c>
      <c r="D10" s="15"/>
      <c r="E10" s="15"/>
      <c r="F10" s="15"/>
      <c r="G10" s="15"/>
      <c r="H10" s="15"/>
      <c r="I10" s="16"/>
    </row>
    <row r="11" spans="2:9">
      <c r="B11" s="5"/>
      <c r="C11" s="15"/>
      <c r="D11" s="15"/>
      <c r="E11" s="15"/>
      <c r="F11" s="15"/>
      <c r="G11" s="15"/>
      <c r="H11" s="15"/>
      <c r="I11" s="16"/>
    </row>
    <row r="12" spans="2:9">
      <c r="B12" s="5" t="s">
        <v>5</v>
      </c>
      <c r="C12" s="15" t="s">
        <v>345</v>
      </c>
      <c r="D12" s="15"/>
      <c r="E12" s="15"/>
      <c r="F12" s="15"/>
      <c r="G12" s="15"/>
      <c r="H12" s="15"/>
      <c r="I12" s="16"/>
    </row>
    <row r="13" spans="2:9">
      <c r="B13" s="5"/>
      <c r="C13" s="8"/>
      <c r="D13" s="8"/>
      <c r="E13" s="8"/>
      <c r="F13" s="8"/>
      <c r="G13" s="8"/>
      <c r="H13" s="8"/>
      <c r="I13" s="6"/>
    </row>
    <row r="14" spans="2:9">
      <c r="B14" s="5" t="s">
        <v>6</v>
      </c>
      <c r="C14" s="8"/>
      <c r="D14" s="15" t="s">
        <v>7</v>
      </c>
      <c r="E14" s="15"/>
      <c r="F14" s="15"/>
      <c r="G14" s="15"/>
      <c r="H14" s="15"/>
      <c r="I14" s="6"/>
    </row>
    <row r="15" spans="2:9">
      <c r="B15" s="5"/>
      <c r="C15" s="8"/>
      <c r="D15" s="15"/>
      <c r="E15" s="15"/>
      <c r="F15" s="15"/>
      <c r="G15" s="15"/>
      <c r="H15" s="15"/>
      <c r="I15" s="6"/>
    </row>
    <row r="16" spans="2:9" ht="13.5" thickBot="1">
      <c r="B16" s="5"/>
      <c r="C16" s="8"/>
      <c r="D16" s="8"/>
      <c r="E16" s="8"/>
      <c r="F16" s="8"/>
      <c r="G16" s="8"/>
      <c r="H16" s="8"/>
      <c r="I16" s="6"/>
    </row>
    <row r="17" spans="2:9">
      <c r="B17" s="2"/>
      <c r="C17" s="4"/>
      <c r="D17" s="4"/>
      <c r="E17" s="4"/>
      <c r="F17" s="4"/>
      <c r="G17" s="4"/>
      <c r="H17" s="4"/>
      <c r="I17" s="3"/>
    </row>
    <row r="18" spans="2:9">
      <c r="B18" s="29" t="s">
        <v>39</v>
      </c>
      <c r="C18" s="30"/>
      <c r="D18" s="30"/>
      <c r="E18" s="30" t="s">
        <v>40</v>
      </c>
      <c r="F18" s="30"/>
      <c r="G18" s="30"/>
      <c r="H18" s="30"/>
      <c r="I18" s="31"/>
    </row>
    <row r="19" spans="2:9">
      <c r="B19" s="32"/>
      <c r="C19" s="30"/>
      <c r="D19" s="30"/>
      <c r="E19" s="30" t="s">
        <v>41</v>
      </c>
      <c r="F19" s="30"/>
      <c r="G19" s="30"/>
      <c r="H19" s="30"/>
      <c r="I19" s="31"/>
    </row>
    <row r="20" spans="2:9">
      <c r="B20" s="32"/>
      <c r="C20" s="30"/>
      <c r="D20" s="30"/>
      <c r="E20" s="30"/>
      <c r="F20" s="30"/>
      <c r="G20" s="30"/>
      <c r="H20" s="30"/>
      <c r="I20" s="31"/>
    </row>
    <row r="21" spans="2:9">
      <c r="B21" s="468"/>
      <c r="C21" s="469"/>
      <c r="D21" s="30" t="s">
        <v>42</v>
      </c>
      <c r="E21" s="30" t="s">
        <v>43</v>
      </c>
      <c r="F21" s="30" t="s">
        <v>44</v>
      </c>
      <c r="G21" s="30"/>
      <c r="H21" s="30"/>
      <c r="I21" s="31"/>
    </row>
    <row r="22" spans="2:9">
      <c r="B22" s="33"/>
      <c r="C22" s="34"/>
      <c r="D22" s="30"/>
      <c r="E22" s="30"/>
      <c r="F22" s="30"/>
      <c r="G22" s="30"/>
      <c r="H22" s="30"/>
      <c r="I22" s="31"/>
    </row>
    <row r="23" spans="2:9">
      <c r="B23" s="33"/>
      <c r="C23" s="34"/>
      <c r="D23" s="30"/>
      <c r="E23" s="30"/>
      <c r="F23" s="30"/>
      <c r="G23" s="30"/>
      <c r="H23" s="30"/>
      <c r="I23" s="31"/>
    </row>
    <row r="24" spans="2:9">
      <c r="B24" s="468" t="s">
        <v>350</v>
      </c>
      <c r="C24" s="469"/>
      <c r="D24" s="30" t="s">
        <v>313</v>
      </c>
      <c r="E24" s="30" t="s">
        <v>314</v>
      </c>
      <c r="F24" s="30" t="s">
        <v>315</v>
      </c>
      <c r="G24" s="30"/>
      <c r="H24" s="30"/>
      <c r="I24" s="31"/>
    </row>
    <row r="25" spans="2:9">
      <c r="B25" s="33"/>
      <c r="C25" s="34"/>
      <c r="D25" s="30"/>
      <c r="E25" s="30"/>
      <c r="F25" s="30"/>
      <c r="G25" s="30"/>
      <c r="H25" s="30"/>
      <c r="I25" s="31"/>
    </row>
    <row r="26" spans="2:9">
      <c r="B26" s="468" t="s">
        <v>45</v>
      </c>
      <c r="C26" s="469"/>
      <c r="D26" s="30" t="s">
        <v>46</v>
      </c>
      <c r="E26" s="30" t="s">
        <v>316</v>
      </c>
      <c r="F26" s="30" t="s">
        <v>47</v>
      </c>
      <c r="G26" s="30"/>
      <c r="H26" s="30"/>
      <c r="I26" s="31"/>
    </row>
    <row r="27" spans="2:9">
      <c r="B27" s="33"/>
      <c r="C27" s="34"/>
      <c r="D27" s="30"/>
      <c r="E27" s="30"/>
      <c r="F27" s="30"/>
      <c r="G27" s="30"/>
      <c r="H27" s="30"/>
      <c r="I27" s="31"/>
    </row>
    <row r="28" spans="2:9">
      <c r="B28" s="468" t="s">
        <v>45</v>
      </c>
      <c r="C28" s="469"/>
      <c r="D28" s="30" t="s">
        <v>48</v>
      </c>
      <c r="E28" s="30" t="s">
        <v>49</v>
      </c>
      <c r="F28" s="30" t="s">
        <v>50</v>
      </c>
      <c r="G28" s="30"/>
      <c r="H28" s="30"/>
      <c r="I28" s="31"/>
    </row>
    <row r="29" spans="2:9">
      <c r="B29" s="33"/>
      <c r="C29" s="34"/>
      <c r="D29" s="30"/>
      <c r="E29" s="30"/>
      <c r="F29" s="30"/>
      <c r="G29" s="30"/>
      <c r="H29" s="30"/>
      <c r="I29" s="31"/>
    </row>
    <row r="30" spans="2:9">
      <c r="B30" s="468" t="s">
        <v>51</v>
      </c>
      <c r="C30" s="469"/>
      <c r="D30" s="30" t="s">
        <v>351</v>
      </c>
      <c r="E30" s="30" t="s">
        <v>52</v>
      </c>
      <c r="F30" s="30" t="s">
        <v>53</v>
      </c>
      <c r="G30" s="30"/>
      <c r="H30" s="30"/>
      <c r="I30" s="31"/>
    </row>
    <row r="31" spans="2:9">
      <c r="B31" s="32"/>
      <c r="C31" s="30"/>
      <c r="D31" s="30"/>
      <c r="E31" s="30"/>
      <c r="F31" s="30"/>
      <c r="G31" s="30"/>
      <c r="H31" s="30"/>
      <c r="I31" s="31"/>
    </row>
    <row r="32" spans="2:9">
      <c r="B32" s="32"/>
      <c r="C32" s="30"/>
      <c r="D32" s="30"/>
      <c r="E32" s="35"/>
      <c r="F32" s="35"/>
      <c r="G32" s="30"/>
      <c r="H32" s="35"/>
      <c r="I32" s="31"/>
    </row>
    <row r="33" spans="2:9">
      <c r="B33" s="32"/>
      <c r="C33" s="30"/>
      <c r="D33" s="30"/>
      <c r="E33" s="30"/>
      <c r="F33" s="30"/>
      <c r="G33" s="30"/>
      <c r="H33" s="30"/>
      <c r="I33" s="31"/>
    </row>
    <row r="34" spans="2:9">
      <c r="B34" s="32"/>
      <c r="C34" s="30"/>
      <c r="D34" s="30"/>
      <c r="E34" s="30"/>
      <c r="F34" s="30"/>
      <c r="G34" s="30"/>
      <c r="H34" s="30"/>
      <c r="I34" s="31"/>
    </row>
    <row r="35" spans="2:9">
      <c r="B35" s="29"/>
      <c r="C35" s="30"/>
      <c r="D35" s="30"/>
      <c r="E35" s="30"/>
      <c r="F35" s="30"/>
      <c r="G35" s="30"/>
      <c r="H35" s="30"/>
      <c r="I35" s="31"/>
    </row>
    <row r="36" spans="2:9">
      <c r="B36" s="32"/>
      <c r="C36" s="30"/>
      <c r="D36" s="30" t="s">
        <v>349</v>
      </c>
      <c r="E36" s="30"/>
      <c r="F36" s="30"/>
      <c r="G36" s="30"/>
      <c r="H36" s="30"/>
      <c r="I36" s="31"/>
    </row>
    <row r="37" spans="2:9">
      <c r="B37" s="36"/>
      <c r="C37" s="35"/>
      <c r="D37" s="35"/>
      <c r="E37" s="35"/>
      <c r="F37" s="30"/>
      <c r="G37" s="30"/>
      <c r="H37" s="30"/>
      <c r="I37" s="37"/>
    </row>
    <row r="38" spans="2:9">
      <c r="B38" s="36"/>
      <c r="C38" s="35"/>
      <c r="D38" s="35"/>
      <c r="E38" s="35"/>
      <c r="F38" s="30"/>
      <c r="G38" s="30"/>
      <c r="H38" s="30"/>
      <c r="I38" s="31"/>
    </row>
    <row r="39" spans="2:9">
      <c r="B39" s="36"/>
      <c r="C39" s="35"/>
      <c r="D39" s="35"/>
      <c r="E39" s="35"/>
      <c r="F39" s="30"/>
      <c r="G39" s="30"/>
      <c r="H39" s="30"/>
      <c r="I39" s="31"/>
    </row>
    <row r="40" spans="2:9">
      <c r="B40" s="36"/>
      <c r="C40" s="38"/>
      <c r="D40" s="39"/>
      <c r="E40" s="34"/>
      <c r="F40" s="30"/>
      <c r="G40" s="30"/>
      <c r="H40" s="30"/>
      <c r="I40" s="31"/>
    </row>
    <row r="41" spans="2:9">
      <c r="B41" s="36"/>
      <c r="C41" s="38"/>
      <c r="D41" s="39"/>
      <c r="E41" s="34"/>
      <c r="F41" s="30"/>
      <c r="G41" s="30"/>
      <c r="H41" s="30"/>
      <c r="I41" s="31"/>
    </row>
    <row r="42" spans="2:9">
      <c r="B42" s="36"/>
      <c r="C42" s="38"/>
      <c r="D42" s="39"/>
      <c r="E42" s="34"/>
      <c r="F42" s="30"/>
      <c r="G42" s="30"/>
      <c r="H42" s="30"/>
      <c r="I42" s="31"/>
    </row>
    <row r="43" spans="2:9">
      <c r="B43" s="36"/>
      <c r="C43" s="38"/>
      <c r="D43" s="30"/>
      <c r="E43" s="34"/>
      <c r="F43" s="30"/>
      <c r="G43" s="30"/>
      <c r="H43" s="30"/>
      <c r="I43" s="31"/>
    </row>
    <row r="44" spans="2:9">
      <c r="B44" s="36"/>
      <c r="C44" s="38"/>
      <c r="D44" s="35"/>
      <c r="E44" s="34"/>
      <c r="F44" s="30"/>
      <c r="G44" s="30"/>
      <c r="H44" s="30"/>
      <c r="I44" s="31"/>
    </row>
    <row r="45" spans="2:9">
      <c r="B45" s="36"/>
      <c r="C45" s="38"/>
      <c r="D45" s="39"/>
      <c r="E45" s="34"/>
      <c r="F45" s="30"/>
      <c r="G45" s="30"/>
      <c r="H45" s="30"/>
      <c r="I45" s="31"/>
    </row>
    <row r="46" spans="2:9">
      <c r="B46" s="36"/>
      <c r="C46" s="38"/>
      <c r="D46" s="39"/>
      <c r="E46" s="30"/>
      <c r="F46" s="30"/>
      <c r="G46" s="30"/>
      <c r="H46" s="30"/>
      <c r="I46" s="31"/>
    </row>
    <row r="47" spans="2:9">
      <c r="B47" s="36"/>
      <c r="C47" s="38"/>
      <c r="D47" s="39"/>
      <c r="E47" s="34"/>
      <c r="F47" s="30"/>
      <c r="G47" s="30"/>
      <c r="H47" s="30"/>
      <c r="I47" s="31"/>
    </row>
    <row r="48" spans="2:9">
      <c r="B48" s="33"/>
      <c r="C48" s="38"/>
      <c r="D48" s="39"/>
      <c r="E48" s="30"/>
      <c r="F48" s="30"/>
      <c r="G48" s="30"/>
      <c r="H48" s="30"/>
      <c r="I48" s="31"/>
    </row>
    <row r="49" spans="2:9">
      <c r="B49" s="33" t="s">
        <v>317</v>
      </c>
      <c r="C49" s="38"/>
      <c r="D49" s="30"/>
      <c r="E49" s="34"/>
      <c r="F49" s="30"/>
      <c r="G49" s="30"/>
      <c r="H49" s="30"/>
      <c r="I49" s="31"/>
    </row>
    <row r="50" spans="2:9">
      <c r="B50" s="36"/>
      <c r="C50" s="38"/>
      <c r="D50" s="35"/>
      <c r="E50" s="34"/>
      <c r="F50" s="30"/>
      <c r="G50" s="30"/>
      <c r="H50" s="30"/>
      <c r="I50" s="31"/>
    </row>
    <row r="51" spans="2:9">
      <c r="B51" s="36"/>
      <c r="C51" s="38"/>
      <c r="D51" s="38"/>
      <c r="E51" s="38"/>
      <c r="F51" s="38"/>
      <c r="G51" s="40"/>
      <c r="H51" s="41"/>
      <c r="I51" s="42"/>
    </row>
    <row r="52" spans="2:9">
      <c r="B52" s="43" t="s">
        <v>54</v>
      </c>
      <c r="C52" s="38"/>
      <c r="D52" s="44" t="s">
        <v>55</v>
      </c>
      <c r="E52" s="38"/>
      <c r="F52" s="38"/>
      <c r="G52" s="40"/>
      <c r="H52" s="41"/>
      <c r="I52" s="37"/>
    </row>
    <row r="53" spans="2:9">
      <c r="B53" s="33"/>
      <c r="C53" s="38"/>
      <c r="D53" s="44" t="s">
        <v>56</v>
      </c>
      <c r="E53" s="38"/>
      <c r="F53" s="38"/>
      <c r="G53" s="40"/>
      <c r="H53" s="41"/>
      <c r="I53" s="37"/>
    </row>
    <row r="54" spans="2:9">
      <c r="B54" s="33"/>
      <c r="C54" s="38"/>
      <c r="D54" s="38"/>
      <c r="E54" s="38"/>
      <c r="F54" s="38"/>
      <c r="G54" s="40"/>
      <c r="H54" s="41"/>
      <c r="I54" s="31"/>
    </row>
    <row r="55" spans="2:9">
      <c r="B55" s="33" t="s">
        <v>57</v>
      </c>
      <c r="C55" s="38"/>
      <c r="D55" s="38"/>
      <c r="E55" s="38"/>
      <c r="F55" s="38"/>
      <c r="G55" s="40"/>
      <c r="H55" s="41"/>
      <c r="I55" s="31"/>
    </row>
    <row r="56" spans="2:9">
      <c r="B56" s="33" t="s">
        <v>22</v>
      </c>
      <c r="C56" s="38" t="s">
        <v>58</v>
      </c>
      <c r="D56" s="44" t="s">
        <v>59</v>
      </c>
      <c r="E56" s="38"/>
      <c r="F56" s="38"/>
      <c r="G56" s="40"/>
      <c r="H56" s="41"/>
      <c r="I56" s="31"/>
    </row>
    <row r="57" spans="2:9">
      <c r="B57" s="36" t="s">
        <v>16</v>
      </c>
      <c r="C57" s="35" t="s">
        <v>26</v>
      </c>
      <c r="D57" s="35"/>
      <c r="E57" s="35"/>
      <c r="F57" s="35"/>
      <c r="G57" s="40"/>
      <c r="H57" s="38"/>
      <c r="I57" s="31"/>
    </row>
    <row r="58" spans="2:9">
      <c r="B58" s="36"/>
      <c r="C58" s="35"/>
      <c r="D58" s="34"/>
      <c r="E58" s="30"/>
      <c r="F58" s="30"/>
      <c r="G58" s="40"/>
      <c r="H58" s="41"/>
      <c r="I58" s="31"/>
    </row>
    <row r="59" spans="2:9">
      <c r="B59" s="36" t="s">
        <v>333</v>
      </c>
      <c r="C59" s="35" t="s">
        <v>334</v>
      </c>
      <c r="D59" s="34" t="s">
        <v>332</v>
      </c>
      <c r="E59" s="30"/>
      <c r="F59" s="30"/>
      <c r="G59" s="40"/>
      <c r="H59" s="41"/>
      <c r="I59" s="31"/>
    </row>
    <row r="60" spans="2:9">
      <c r="B60" s="36"/>
      <c r="C60" s="35"/>
      <c r="D60" s="34"/>
      <c r="E60" s="35"/>
      <c r="F60" s="35"/>
      <c r="G60" s="35"/>
      <c r="H60" s="45"/>
      <c r="I60" s="31"/>
    </row>
    <row r="61" spans="2:9">
      <c r="B61" s="36"/>
      <c r="C61" s="35"/>
      <c r="D61" s="34"/>
      <c r="E61" s="30"/>
      <c r="F61" s="30"/>
      <c r="G61" s="30"/>
      <c r="H61" s="30"/>
      <c r="I61" s="31"/>
    </row>
    <row r="62" spans="2:9">
      <c r="B62" s="25"/>
      <c r="C62" s="8"/>
      <c r="D62" s="8"/>
      <c r="E62" s="8"/>
      <c r="F62" s="8"/>
      <c r="G62" s="8"/>
      <c r="H62" s="8"/>
      <c r="I62" s="6"/>
    </row>
    <row r="63" spans="2:9" ht="13.5" thickBot="1">
      <c r="B63" s="26"/>
      <c r="C63" s="27"/>
      <c r="D63" s="27"/>
      <c r="E63" s="27"/>
      <c r="F63" s="27"/>
      <c r="G63" s="27"/>
      <c r="H63" s="27"/>
      <c r="I63" s="10"/>
    </row>
    <row r="64" spans="2:9">
      <c r="B64" s="8"/>
      <c r="C64" s="8"/>
      <c r="D64" s="8"/>
      <c r="E64" s="8"/>
      <c r="F64" s="8"/>
      <c r="G64" s="8"/>
      <c r="H64" s="8"/>
      <c r="I64" s="8"/>
    </row>
  </sheetData>
  <mergeCells count="5">
    <mergeCell ref="B21:C21"/>
    <mergeCell ref="B24:C24"/>
    <mergeCell ref="B26:C26"/>
    <mergeCell ref="B28:C28"/>
    <mergeCell ref="B30:C30"/>
  </mergeCells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5"/>
  <sheetViews>
    <sheetView topLeftCell="A35" workbookViewId="0">
      <selection activeCell="F46" sqref="F46"/>
    </sheetView>
  </sheetViews>
  <sheetFormatPr baseColWidth="10" defaultRowHeight="12.75"/>
  <cols>
    <col min="1" max="1" width="3.85546875" style="1" customWidth="1"/>
    <col min="2" max="16384" width="11.42578125" style="1"/>
  </cols>
  <sheetData>
    <row r="2" spans="2:9" ht="13.5" thickBot="1"/>
    <row r="3" spans="2:9">
      <c r="B3" s="2"/>
      <c r="C3" s="3"/>
      <c r="D3" s="4"/>
      <c r="E3" s="4"/>
      <c r="F3" s="4"/>
      <c r="G3" s="4"/>
      <c r="H3" s="4"/>
      <c r="I3" s="3"/>
    </row>
    <row r="4" spans="2:9" ht="15.75">
      <c r="B4" s="5"/>
      <c r="C4" s="6"/>
      <c r="D4" s="28" t="s">
        <v>0</v>
      </c>
      <c r="E4" s="8"/>
      <c r="F4" s="8"/>
      <c r="G4" s="8"/>
      <c r="H4" s="8"/>
      <c r="I4" s="6"/>
    </row>
    <row r="5" spans="2:9">
      <c r="B5" s="5"/>
      <c r="C5" s="6"/>
      <c r="D5" s="8"/>
      <c r="E5" s="8"/>
      <c r="F5" s="8"/>
      <c r="G5" s="8"/>
      <c r="H5" s="8"/>
      <c r="I5" s="6"/>
    </row>
    <row r="6" spans="2:9" ht="13.5" thickBot="1">
      <c r="B6" s="9"/>
      <c r="C6" s="10"/>
      <c r="D6" s="11" t="s">
        <v>1</v>
      </c>
      <c r="E6" s="12"/>
      <c r="F6" s="12"/>
      <c r="G6" s="13" t="s">
        <v>2</v>
      </c>
      <c r="H6" s="14"/>
      <c r="I6" s="10"/>
    </row>
    <row r="7" spans="2:9">
      <c r="B7" s="5"/>
      <c r="C7" s="8"/>
      <c r="D7" s="8"/>
      <c r="E7" s="8"/>
      <c r="F7" s="8"/>
      <c r="G7" s="8"/>
      <c r="H7" s="8"/>
      <c r="I7" s="6"/>
    </row>
    <row r="8" spans="2:9">
      <c r="B8" s="5" t="s">
        <v>3</v>
      </c>
      <c r="C8" s="15" t="s">
        <v>305</v>
      </c>
      <c r="D8" s="15"/>
      <c r="E8" s="15"/>
      <c r="F8" s="15"/>
      <c r="G8" s="15"/>
      <c r="H8" s="15"/>
      <c r="I8" s="16"/>
    </row>
    <row r="9" spans="2:9">
      <c r="B9" s="5"/>
      <c r="C9" s="15"/>
      <c r="D9" s="15"/>
      <c r="E9" s="15"/>
      <c r="F9" s="15"/>
      <c r="G9" s="15"/>
      <c r="H9" s="15"/>
      <c r="I9" s="16">
        <v>3</v>
      </c>
    </row>
    <row r="10" spans="2:9">
      <c r="B10" s="5" t="s">
        <v>4</v>
      </c>
      <c r="C10" s="15" t="s">
        <v>306</v>
      </c>
      <c r="D10" s="15"/>
      <c r="E10" s="15"/>
      <c r="F10" s="15"/>
      <c r="G10" s="15"/>
      <c r="H10" s="15"/>
      <c r="I10" s="16"/>
    </row>
    <row r="11" spans="2:9">
      <c r="B11" s="5"/>
      <c r="C11" s="15"/>
      <c r="D11" s="15"/>
      <c r="E11" s="15"/>
      <c r="F11" s="15"/>
      <c r="G11" s="15"/>
      <c r="H11" s="15"/>
      <c r="I11" s="16"/>
    </row>
    <row r="12" spans="2:9">
      <c r="B12" s="5" t="s">
        <v>5</v>
      </c>
      <c r="C12" s="15" t="s">
        <v>345</v>
      </c>
      <c r="D12" s="15"/>
      <c r="E12" s="15"/>
      <c r="F12" s="15"/>
      <c r="G12" s="15"/>
      <c r="H12" s="15"/>
      <c r="I12" s="16"/>
    </row>
    <row r="13" spans="2:9">
      <c r="B13" s="5"/>
      <c r="C13" s="8"/>
      <c r="D13" s="8"/>
      <c r="E13" s="8"/>
      <c r="F13" s="8"/>
      <c r="G13" s="8"/>
      <c r="H13" s="8"/>
      <c r="I13" s="6"/>
    </row>
    <row r="14" spans="2:9">
      <c r="B14" s="5" t="s">
        <v>6</v>
      </c>
      <c r="C14" s="8"/>
      <c r="D14" s="15" t="s">
        <v>7</v>
      </c>
      <c r="E14" s="15"/>
      <c r="F14" s="15"/>
      <c r="G14" s="15"/>
      <c r="H14" s="15"/>
      <c r="I14" s="6"/>
    </row>
    <row r="15" spans="2:9">
      <c r="B15" s="5"/>
      <c r="C15" s="8"/>
      <c r="D15" s="15"/>
      <c r="E15" s="15"/>
      <c r="F15" s="15"/>
      <c r="G15" s="15"/>
      <c r="H15" s="15"/>
      <c r="I15" s="6"/>
    </row>
    <row r="16" spans="2:9" ht="13.5" thickBot="1">
      <c r="B16" s="5"/>
      <c r="C16" s="8"/>
      <c r="D16" s="8"/>
      <c r="E16" s="8"/>
      <c r="F16" s="8"/>
      <c r="G16" s="8"/>
      <c r="H16" s="8"/>
      <c r="I16" s="6"/>
    </row>
    <row r="17" spans="2:9">
      <c r="B17" s="2"/>
      <c r="C17" s="4"/>
      <c r="D17" s="4"/>
      <c r="E17" s="4"/>
      <c r="F17" s="4"/>
      <c r="G17" s="4"/>
      <c r="H17" s="4"/>
      <c r="I17" s="3"/>
    </row>
    <row r="18" spans="2:9">
      <c r="B18" s="33" t="s">
        <v>60</v>
      </c>
      <c r="C18" s="38"/>
      <c r="D18" s="44"/>
      <c r="E18" s="38"/>
      <c r="F18" s="30"/>
      <c r="G18" s="30"/>
      <c r="H18" s="30"/>
      <c r="I18" s="31"/>
    </row>
    <row r="19" spans="2:9">
      <c r="B19" s="33" t="s">
        <v>22</v>
      </c>
      <c r="C19" s="38" t="s">
        <v>58</v>
      </c>
      <c r="D19" s="44" t="s">
        <v>59</v>
      </c>
      <c r="E19" s="38"/>
      <c r="F19" s="30"/>
      <c r="G19" s="30"/>
      <c r="H19" s="30"/>
      <c r="I19" s="31"/>
    </row>
    <row r="20" spans="2:9">
      <c r="B20" s="36" t="s">
        <v>16</v>
      </c>
      <c r="C20" s="35" t="s">
        <v>26</v>
      </c>
      <c r="D20" s="35"/>
      <c r="E20" s="35"/>
      <c r="F20" s="30"/>
      <c r="G20" s="30"/>
      <c r="H20" s="30"/>
      <c r="I20" s="31"/>
    </row>
    <row r="21" spans="2:9">
      <c r="B21" s="32"/>
      <c r="C21" s="30"/>
      <c r="D21" s="30"/>
      <c r="E21" s="30"/>
      <c r="F21" s="30"/>
      <c r="G21" s="30"/>
      <c r="H21" s="30"/>
      <c r="I21" s="31"/>
    </row>
    <row r="22" spans="2:9">
      <c r="B22" s="46" t="s">
        <v>335</v>
      </c>
      <c r="C22" s="47" t="s">
        <v>336</v>
      </c>
      <c r="D22" s="34" t="s">
        <v>332</v>
      </c>
      <c r="E22" s="30"/>
      <c r="F22" s="30"/>
      <c r="G22" s="30"/>
      <c r="H22" s="30"/>
      <c r="I22" s="31"/>
    </row>
    <row r="23" spans="2:9">
      <c r="B23" s="33"/>
      <c r="C23" s="34"/>
      <c r="D23" s="34"/>
      <c r="E23" s="30"/>
      <c r="F23" s="30"/>
      <c r="G23" s="30"/>
      <c r="H23" s="30"/>
      <c r="I23" s="31"/>
    </row>
    <row r="24" spans="2:9">
      <c r="B24" s="48"/>
      <c r="C24" s="47"/>
      <c r="D24" s="30"/>
      <c r="E24" s="30"/>
      <c r="F24" s="30"/>
      <c r="G24" s="30"/>
      <c r="H24" s="30"/>
      <c r="I24" s="31"/>
    </row>
    <row r="25" spans="2:9">
      <c r="B25" s="33" t="s">
        <v>61</v>
      </c>
      <c r="C25" s="34"/>
      <c r="D25" s="30"/>
      <c r="E25" s="30"/>
      <c r="F25" s="30"/>
      <c r="G25" s="30"/>
      <c r="H25" s="30"/>
      <c r="I25" s="31"/>
    </row>
    <row r="26" spans="2:9">
      <c r="B26" s="33"/>
      <c r="C26" s="38"/>
      <c r="D26" s="44"/>
      <c r="E26" s="38"/>
      <c r="F26" s="30"/>
      <c r="G26" s="30"/>
      <c r="H26" s="30"/>
      <c r="I26" s="31"/>
    </row>
    <row r="27" spans="2:9">
      <c r="B27" s="36"/>
      <c r="C27" s="35"/>
      <c r="D27" s="35"/>
      <c r="E27" s="35"/>
      <c r="F27" s="30"/>
      <c r="G27" s="30"/>
      <c r="H27" s="30"/>
      <c r="I27" s="31"/>
    </row>
    <row r="28" spans="2:9">
      <c r="B28" s="46"/>
      <c r="C28" s="47"/>
      <c r="D28" s="30"/>
      <c r="E28" s="30"/>
      <c r="F28" s="30"/>
      <c r="G28" s="30"/>
      <c r="H28" s="30"/>
      <c r="I28" s="31"/>
    </row>
    <row r="29" spans="2:9">
      <c r="B29" s="33"/>
      <c r="C29" s="34"/>
      <c r="D29" s="30"/>
      <c r="E29" s="30"/>
      <c r="F29" s="30"/>
      <c r="G29" s="30"/>
      <c r="H29" s="30"/>
      <c r="I29" s="31"/>
    </row>
    <row r="30" spans="2:9">
      <c r="B30" s="29" t="s">
        <v>62</v>
      </c>
      <c r="C30" s="30"/>
      <c r="D30" s="30"/>
      <c r="E30" s="30" t="s">
        <v>63</v>
      </c>
      <c r="F30" s="30"/>
      <c r="G30" s="30"/>
      <c r="H30" s="30"/>
      <c r="I30" s="31"/>
    </row>
    <row r="31" spans="2:9">
      <c r="B31" s="32"/>
      <c r="C31" s="30"/>
      <c r="D31" s="30"/>
      <c r="E31" s="30"/>
      <c r="F31" s="30"/>
      <c r="G31" s="30"/>
      <c r="H31" s="30"/>
      <c r="I31" s="31"/>
    </row>
    <row r="32" spans="2:9">
      <c r="B32" s="32" t="s">
        <v>20</v>
      </c>
      <c r="C32" s="35" t="s">
        <v>64</v>
      </c>
      <c r="D32" s="35" t="s">
        <v>65</v>
      </c>
      <c r="E32" s="35" t="s">
        <v>66</v>
      </c>
      <c r="F32" s="35" t="s">
        <v>67</v>
      </c>
      <c r="G32" s="35" t="s">
        <v>68</v>
      </c>
      <c r="H32" s="30" t="s">
        <v>69</v>
      </c>
      <c r="I32" s="49" t="s">
        <v>70</v>
      </c>
    </row>
    <row r="33" spans="2:9">
      <c r="B33" s="32"/>
      <c r="C33" s="35" t="s">
        <v>71</v>
      </c>
      <c r="D33" s="35" t="s">
        <v>71</v>
      </c>
      <c r="E33" s="35" t="s">
        <v>71</v>
      </c>
      <c r="F33" s="35" t="s">
        <v>72</v>
      </c>
      <c r="G33" s="35" t="s">
        <v>73</v>
      </c>
      <c r="H33" s="35" t="s">
        <v>74</v>
      </c>
      <c r="I33" s="37" t="s">
        <v>75</v>
      </c>
    </row>
    <row r="34" spans="2:9">
      <c r="B34" s="32"/>
      <c r="C34" s="35"/>
      <c r="D34" s="35"/>
      <c r="E34" s="35"/>
      <c r="F34" s="35"/>
      <c r="G34" s="30"/>
      <c r="H34" s="34"/>
      <c r="I34" s="37"/>
    </row>
    <row r="35" spans="2:9">
      <c r="B35" s="36">
        <v>1</v>
      </c>
      <c r="C35" s="38">
        <f>'P1'!S30</f>
        <v>7.714192615271136</v>
      </c>
      <c r="D35" s="38">
        <f>'P1'!T30</f>
        <v>1.1360151246473906</v>
      </c>
      <c r="E35" s="38">
        <f>'P1'!V30</f>
        <v>21.034036810183697</v>
      </c>
      <c r="F35" s="35">
        <f>'P1'!I30</f>
        <v>64.5</v>
      </c>
      <c r="G35" s="38">
        <f>(F35/8)</f>
        <v>8.0625</v>
      </c>
      <c r="H35" s="50">
        <f>'R'!H37</f>
        <v>1.7265820299096082</v>
      </c>
      <c r="I35" s="37">
        <v>26</v>
      </c>
    </row>
    <row r="36" spans="2:9">
      <c r="B36" s="36">
        <v>2</v>
      </c>
      <c r="C36" s="38">
        <f>'P2'!S30</f>
        <v>0</v>
      </c>
      <c r="D36" s="38">
        <f>'P2'!T30</f>
        <v>0</v>
      </c>
      <c r="E36" s="38">
        <f>'P2'!V30</f>
        <v>14.281416441966405</v>
      </c>
      <c r="F36" s="40">
        <f>'P2'!I30</f>
        <v>76.666666666666671</v>
      </c>
      <c r="G36" s="38">
        <f>(F36/8)</f>
        <v>9.5833333333333339</v>
      </c>
      <c r="H36" s="50">
        <f>H35</f>
        <v>1.7265820299096082</v>
      </c>
      <c r="I36" s="37">
        <v>26</v>
      </c>
    </row>
    <row r="37" spans="2:9">
      <c r="B37" s="36"/>
      <c r="C37" s="35"/>
      <c r="D37" s="35"/>
      <c r="E37" s="35"/>
      <c r="F37" s="35"/>
      <c r="G37" s="38"/>
      <c r="H37" s="50"/>
      <c r="I37" s="42"/>
    </row>
    <row r="38" spans="2:9">
      <c r="B38" s="36"/>
      <c r="C38" s="35"/>
      <c r="D38" s="51"/>
      <c r="E38" s="35"/>
      <c r="F38" s="35"/>
      <c r="G38" s="38"/>
      <c r="H38" s="52"/>
      <c r="I38" s="42"/>
    </row>
    <row r="39" spans="2:9">
      <c r="B39" s="33"/>
      <c r="C39" s="34"/>
      <c r="D39" s="34"/>
      <c r="E39" s="34"/>
      <c r="F39" s="34"/>
      <c r="G39" s="53"/>
      <c r="H39" s="54"/>
      <c r="I39" s="42"/>
    </row>
    <row r="40" spans="2:9">
      <c r="B40" s="43" t="s">
        <v>76</v>
      </c>
      <c r="C40" s="34" t="s">
        <v>77</v>
      </c>
      <c r="D40" s="34"/>
      <c r="E40" s="34"/>
      <c r="F40" s="34" t="s">
        <v>78</v>
      </c>
      <c r="G40" s="34">
        <v>1</v>
      </c>
      <c r="H40" s="34"/>
      <c r="I40" s="42">
        <v>216</v>
      </c>
    </row>
    <row r="41" spans="2:9">
      <c r="B41" s="33" t="s">
        <v>79</v>
      </c>
      <c r="C41" s="34"/>
      <c r="D41" s="34"/>
      <c r="E41" s="34"/>
      <c r="F41" s="34" t="s">
        <v>77</v>
      </c>
      <c r="G41" s="34"/>
      <c r="H41" s="34"/>
      <c r="I41" s="42"/>
    </row>
    <row r="42" spans="2:9">
      <c r="B42" s="33" t="s">
        <v>80</v>
      </c>
      <c r="C42" s="34" t="s">
        <v>81</v>
      </c>
      <c r="D42" s="34"/>
      <c r="E42" s="34"/>
      <c r="F42" s="34"/>
      <c r="G42" s="34"/>
      <c r="H42" s="34"/>
      <c r="I42" s="42"/>
    </row>
    <row r="43" spans="2:9">
      <c r="B43" s="33"/>
      <c r="C43" s="34"/>
      <c r="D43" s="34"/>
      <c r="E43" s="34"/>
      <c r="F43" s="34"/>
      <c r="G43" s="34"/>
      <c r="H43" s="34"/>
      <c r="I43" s="42"/>
    </row>
    <row r="44" spans="2:9">
      <c r="B44" s="33"/>
      <c r="C44" s="34" t="s">
        <v>82</v>
      </c>
      <c r="D44" s="34" t="s">
        <v>83</v>
      </c>
      <c r="E44" s="34"/>
      <c r="F44" s="34"/>
      <c r="G44" s="34">
        <v>0</v>
      </c>
      <c r="H44" s="34">
        <v>7.5</v>
      </c>
      <c r="I44" s="42">
        <v>8.32</v>
      </c>
    </row>
    <row r="45" spans="2:9">
      <c r="B45" s="33"/>
      <c r="C45" s="34" t="s">
        <v>84</v>
      </c>
      <c r="D45" s="34" t="s">
        <v>85</v>
      </c>
      <c r="E45" s="34"/>
      <c r="F45" s="34"/>
      <c r="G45" s="44">
        <v>0.8</v>
      </c>
      <c r="H45" s="34"/>
      <c r="I45" s="42"/>
    </row>
    <row r="46" spans="2:9">
      <c r="B46" s="33"/>
      <c r="C46" s="34" t="s">
        <v>86</v>
      </c>
      <c r="D46" s="34" t="s">
        <v>87</v>
      </c>
      <c r="E46" s="34"/>
      <c r="F46" s="34"/>
      <c r="G46" s="44">
        <v>2</v>
      </c>
      <c r="H46" s="34"/>
      <c r="I46" s="42"/>
    </row>
    <row r="47" spans="2:9">
      <c r="B47" s="33"/>
      <c r="C47" s="34" t="s">
        <v>88</v>
      </c>
      <c r="D47" s="34" t="s">
        <v>89</v>
      </c>
      <c r="E47" s="34"/>
      <c r="F47" s="34"/>
      <c r="G47" s="44">
        <v>2</v>
      </c>
      <c r="H47" s="55"/>
      <c r="I47" s="42"/>
    </row>
    <row r="48" spans="2:9">
      <c r="B48" s="33"/>
      <c r="C48" s="34" t="s">
        <v>90</v>
      </c>
      <c r="D48" s="44">
        <f>G35</f>
        <v>8.0625</v>
      </c>
      <c r="E48" s="34" t="s">
        <v>73</v>
      </c>
      <c r="F48" s="34"/>
      <c r="G48" s="56"/>
      <c r="H48" s="54"/>
      <c r="I48" s="42"/>
    </row>
    <row r="49" spans="2:9">
      <c r="B49" s="33"/>
      <c r="C49" s="34" t="s">
        <v>91</v>
      </c>
      <c r="D49" s="466">
        <f>H35</f>
        <v>1.7265820299096082</v>
      </c>
      <c r="E49" s="34" t="s">
        <v>92</v>
      </c>
      <c r="F49" s="34"/>
      <c r="G49" s="53"/>
      <c r="H49" s="54"/>
      <c r="I49" s="42"/>
    </row>
    <row r="50" spans="2:9">
      <c r="B50" s="33"/>
      <c r="C50" s="34" t="s">
        <v>93</v>
      </c>
      <c r="D50" s="466">
        <f>D48/2</f>
        <v>4.03125</v>
      </c>
      <c r="E50" s="34" t="s">
        <v>73</v>
      </c>
      <c r="F50" s="34"/>
      <c r="G50" s="53"/>
      <c r="H50" s="53"/>
      <c r="I50" s="42"/>
    </row>
    <row r="51" spans="2:9">
      <c r="B51" s="33"/>
      <c r="C51" s="34" t="s">
        <v>94</v>
      </c>
      <c r="D51" s="44">
        <f>(((1+0.3*(G46/G47))*(D50*G44)+(D49*G45*H44)+(D49*0.4*I44))/6)</f>
        <v>2.6842595291661375</v>
      </c>
      <c r="E51" s="34" t="s">
        <v>73</v>
      </c>
      <c r="F51" s="44">
        <f>D51*10</f>
        <v>26.842595291661375</v>
      </c>
      <c r="G51" s="34" t="s">
        <v>95</v>
      </c>
      <c r="H51" s="34"/>
      <c r="I51" s="42"/>
    </row>
    <row r="52" spans="2:9">
      <c r="B52" s="33"/>
      <c r="C52" s="34"/>
      <c r="D52" s="44"/>
      <c r="E52" s="34"/>
      <c r="F52" s="34"/>
      <c r="G52" s="34"/>
      <c r="H52" s="34"/>
      <c r="I52" s="42"/>
    </row>
    <row r="53" spans="2:9">
      <c r="B53" s="33"/>
      <c r="C53" s="34" t="s">
        <v>96</v>
      </c>
      <c r="D53" s="44">
        <v>248</v>
      </c>
      <c r="E53" s="34" t="s">
        <v>18</v>
      </c>
      <c r="F53" s="34" t="s">
        <v>97</v>
      </c>
      <c r="G53" s="38">
        <f>I40/4</f>
        <v>54</v>
      </c>
      <c r="H53" s="34" t="s">
        <v>17</v>
      </c>
      <c r="I53" s="42"/>
    </row>
    <row r="54" spans="2:9">
      <c r="B54" s="33"/>
      <c r="C54" s="34" t="s">
        <v>98</v>
      </c>
      <c r="D54" s="44">
        <f>D53/G53</f>
        <v>4.5925925925925926</v>
      </c>
      <c r="E54" s="34" t="s">
        <v>95</v>
      </c>
      <c r="F54" s="34"/>
      <c r="G54" s="34"/>
      <c r="H54" s="34"/>
      <c r="I54" s="42"/>
    </row>
    <row r="55" spans="2:9">
      <c r="B55" s="33"/>
      <c r="C55" s="34"/>
      <c r="D55" s="44"/>
      <c r="E55" s="34"/>
      <c r="F55" s="34"/>
      <c r="G55" s="34"/>
      <c r="H55" s="34"/>
      <c r="I55" s="42"/>
    </row>
    <row r="56" spans="2:9">
      <c r="B56" s="33"/>
      <c r="C56" s="34"/>
      <c r="D56" s="44"/>
      <c r="E56" s="34" t="s">
        <v>99</v>
      </c>
      <c r="F56" s="34"/>
      <c r="G56" s="57">
        <f>F51/D54</f>
        <v>5.8447586522165897</v>
      </c>
      <c r="H56" s="34"/>
      <c r="I56" s="42"/>
    </row>
    <row r="57" spans="2:9">
      <c r="B57" s="32"/>
      <c r="C57" s="34"/>
      <c r="D57" s="34"/>
      <c r="E57" s="34"/>
      <c r="F57" s="34"/>
      <c r="G57" s="34"/>
      <c r="H57" s="34"/>
      <c r="I57" s="42"/>
    </row>
    <row r="58" spans="2:9">
      <c r="B58" s="25"/>
      <c r="C58" s="34" t="s">
        <v>100</v>
      </c>
      <c r="D58" s="24"/>
      <c r="E58" s="19"/>
      <c r="F58" s="58"/>
      <c r="G58" s="8"/>
      <c r="H58" s="8"/>
      <c r="I58" s="6"/>
    </row>
    <row r="59" spans="2:9">
      <c r="B59" s="33"/>
      <c r="C59" s="34"/>
      <c r="D59" s="34"/>
      <c r="E59" s="34"/>
      <c r="F59" s="34"/>
      <c r="G59" s="53"/>
      <c r="H59" s="53"/>
      <c r="I59" s="42"/>
    </row>
    <row r="60" spans="2:9">
      <c r="B60" s="33"/>
      <c r="C60" s="34"/>
      <c r="D60" s="44"/>
      <c r="E60" s="34"/>
      <c r="F60" s="44"/>
      <c r="G60" s="34"/>
      <c r="H60" s="34"/>
      <c r="I60" s="42"/>
    </row>
    <row r="61" spans="2:9">
      <c r="B61" s="33"/>
      <c r="C61" s="34"/>
      <c r="D61" s="44"/>
      <c r="E61" s="34"/>
      <c r="F61" s="34"/>
      <c r="G61" s="34"/>
      <c r="H61" s="34"/>
      <c r="I61" s="42"/>
    </row>
    <row r="62" spans="2:9">
      <c r="B62" s="33"/>
      <c r="C62" s="34"/>
      <c r="D62" s="44"/>
      <c r="E62" s="34"/>
      <c r="F62" s="34"/>
      <c r="G62" s="38"/>
      <c r="H62" s="34"/>
      <c r="I62" s="42"/>
    </row>
    <row r="63" spans="2:9" ht="13.5" thickBot="1">
      <c r="B63" s="59"/>
      <c r="C63" s="60"/>
      <c r="D63" s="61"/>
      <c r="E63" s="60"/>
      <c r="F63" s="61"/>
      <c r="G63" s="60"/>
      <c r="H63" s="60"/>
      <c r="I63" s="62"/>
    </row>
    <row r="64" spans="2:9">
      <c r="B64" s="34"/>
      <c r="C64" s="34"/>
      <c r="D64" s="44"/>
      <c r="E64" s="34"/>
      <c r="F64" s="34"/>
      <c r="G64" s="34"/>
      <c r="H64" s="34"/>
      <c r="I64" s="34"/>
    </row>
    <row r="65" spans="2:9">
      <c r="B65" s="34"/>
      <c r="C65" s="34"/>
      <c r="D65" s="44"/>
      <c r="E65" s="34"/>
      <c r="F65" s="34"/>
      <c r="G65" s="38"/>
      <c r="H65" s="34"/>
      <c r="I65" s="34"/>
    </row>
  </sheetData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4"/>
  <sheetViews>
    <sheetView tabSelected="1" topLeftCell="A7" workbookViewId="0">
      <selection activeCell="F39" sqref="F39"/>
    </sheetView>
  </sheetViews>
  <sheetFormatPr baseColWidth="10" defaultRowHeight="12.75"/>
  <cols>
    <col min="1" max="1" width="3.85546875" style="63" customWidth="1"/>
    <col min="2" max="16384" width="11.42578125" style="63"/>
  </cols>
  <sheetData>
    <row r="2" spans="2:9" ht="13.5" thickBot="1"/>
    <row r="3" spans="2:9">
      <c r="B3" s="64"/>
      <c r="C3" s="65"/>
      <c r="D3" s="66"/>
      <c r="E3" s="66"/>
      <c r="F3" s="66"/>
      <c r="G3" s="66"/>
      <c r="H3" s="66"/>
      <c r="I3" s="65"/>
    </row>
    <row r="4" spans="2:9" ht="15.75">
      <c r="B4" s="67"/>
      <c r="C4" s="68"/>
      <c r="D4" s="69" t="s">
        <v>0</v>
      </c>
      <c r="E4" s="70"/>
      <c r="F4" s="70"/>
      <c r="G4" s="70"/>
      <c r="H4" s="70"/>
      <c r="I4" s="68"/>
    </row>
    <row r="5" spans="2:9">
      <c r="B5" s="67"/>
      <c r="C5" s="68"/>
      <c r="D5" s="70"/>
      <c r="E5" s="70"/>
      <c r="F5" s="70"/>
      <c r="G5" s="70"/>
      <c r="H5" s="70"/>
      <c r="I5" s="68"/>
    </row>
    <row r="6" spans="2:9" ht="13.5" thickBot="1">
      <c r="B6" s="71"/>
      <c r="C6" s="72"/>
      <c r="D6" s="73" t="s">
        <v>1</v>
      </c>
      <c r="E6" s="74"/>
      <c r="F6" s="74"/>
      <c r="G6" s="75" t="s">
        <v>2</v>
      </c>
      <c r="H6" s="76"/>
      <c r="I6" s="72"/>
    </row>
    <row r="7" spans="2:9">
      <c r="B7" s="67"/>
      <c r="C7" s="70"/>
      <c r="D7" s="70"/>
      <c r="E7" s="70"/>
      <c r="F7" s="70"/>
      <c r="G7" s="70"/>
      <c r="H7" s="70"/>
      <c r="I7" s="68"/>
    </row>
    <row r="8" spans="2:9">
      <c r="B8" s="67" t="s">
        <v>3</v>
      </c>
      <c r="C8" s="15" t="s">
        <v>305</v>
      </c>
      <c r="D8" s="15"/>
      <c r="E8" s="77"/>
      <c r="F8" s="77"/>
      <c r="G8" s="77"/>
      <c r="H8" s="77"/>
      <c r="I8" s="78"/>
    </row>
    <row r="9" spans="2:9">
      <c r="B9" s="67"/>
      <c r="C9" s="15"/>
      <c r="D9" s="15"/>
      <c r="E9" s="77"/>
      <c r="F9" s="77"/>
      <c r="G9" s="77"/>
      <c r="H9" s="77"/>
      <c r="I9" s="78">
        <v>4</v>
      </c>
    </row>
    <row r="10" spans="2:9">
      <c r="B10" s="67" t="s">
        <v>4</v>
      </c>
      <c r="C10" s="15" t="s">
        <v>306</v>
      </c>
      <c r="D10" s="15"/>
      <c r="E10" s="77"/>
      <c r="F10" s="77"/>
      <c r="G10" s="77"/>
      <c r="H10" s="77"/>
      <c r="I10" s="78"/>
    </row>
    <row r="11" spans="2:9">
      <c r="B11" s="67"/>
      <c r="C11" s="15"/>
      <c r="D11" s="15"/>
      <c r="E11" s="77"/>
      <c r="F11" s="77"/>
      <c r="G11" s="77"/>
      <c r="H11" s="77"/>
      <c r="I11" s="78"/>
    </row>
    <row r="12" spans="2:9">
      <c r="B12" s="67" t="s">
        <v>5</v>
      </c>
      <c r="C12" s="15" t="s">
        <v>345</v>
      </c>
      <c r="D12" s="15"/>
      <c r="E12" s="77"/>
      <c r="F12" s="77"/>
      <c r="G12" s="77"/>
      <c r="H12" s="77"/>
      <c r="I12" s="78"/>
    </row>
    <row r="13" spans="2:9">
      <c r="B13" s="67"/>
      <c r="C13" s="70"/>
      <c r="D13" s="70"/>
      <c r="E13" s="70"/>
      <c r="F13" s="70"/>
      <c r="G13" s="70"/>
      <c r="H13" s="70"/>
      <c r="I13" s="68"/>
    </row>
    <row r="14" spans="2:9">
      <c r="B14" s="67" t="s">
        <v>6</v>
      </c>
      <c r="C14" s="70"/>
      <c r="D14" s="77" t="s">
        <v>7</v>
      </c>
      <c r="E14" s="77"/>
      <c r="F14" s="77"/>
      <c r="G14" s="77"/>
      <c r="H14" s="77"/>
      <c r="I14" s="68"/>
    </row>
    <row r="15" spans="2:9">
      <c r="B15" s="67"/>
      <c r="C15" s="70"/>
      <c r="D15" s="77"/>
      <c r="E15" s="77"/>
      <c r="F15" s="77"/>
      <c r="G15" s="77"/>
      <c r="H15" s="77"/>
      <c r="I15" s="68"/>
    </row>
    <row r="16" spans="2:9" ht="13.5" thickBot="1">
      <c r="B16" s="67"/>
      <c r="C16" s="70"/>
      <c r="D16" s="70"/>
      <c r="E16" s="70"/>
      <c r="F16" s="70"/>
      <c r="G16" s="70"/>
      <c r="H16" s="70"/>
      <c r="I16" s="68"/>
    </row>
    <row r="17" spans="2:9">
      <c r="B17" s="64"/>
      <c r="C17" s="66"/>
      <c r="D17" s="66"/>
      <c r="E17" s="66"/>
      <c r="F17" s="66"/>
      <c r="G17" s="66"/>
      <c r="H17" s="66"/>
      <c r="I17" s="65"/>
    </row>
    <row r="18" spans="2:9">
      <c r="B18" s="79" t="s">
        <v>101</v>
      </c>
      <c r="C18" s="80"/>
      <c r="D18" s="80"/>
      <c r="E18" s="80"/>
      <c r="F18" s="80"/>
      <c r="G18" s="80"/>
      <c r="H18" s="80"/>
      <c r="I18" s="81"/>
    </row>
    <row r="19" spans="2:9">
      <c r="B19" s="33"/>
      <c r="C19" s="35"/>
      <c r="D19" s="35"/>
      <c r="E19" s="35"/>
      <c r="F19" s="35"/>
      <c r="G19" s="35"/>
      <c r="H19" s="35"/>
      <c r="I19" s="81"/>
    </row>
    <row r="20" spans="2:9">
      <c r="B20" s="33"/>
      <c r="C20" s="35"/>
      <c r="D20" s="35"/>
      <c r="E20" s="35"/>
      <c r="F20" s="35"/>
      <c r="G20" s="35"/>
      <c r="H20" s="35"/>
      <c r="I20" s="81"/>
    </row>
    <row r="21" spans="2:9">
      <c r="B21" s="33" t="s">
        <v>102</v>
      </c>
      <c r="C21" s="35"/>
      <c r="D21" s="35"/>
      <c r="E21" s="35"/>
      <c r="F21" s="35" t="s">
        <v>326</v>
      </c>
      <c r="G21" s="35"/>
      <c r="H21" s="35"/>
      <c r="I21" s="81"/>
    </row>
    <row r="22" spans="2:9">
      <c r="B22" s="33"/>
      <c r="C22" s="35"/>
      <c r="D22" s="35"/>
      <c r="E22" s="35"/>
      <c r="F22" s="35"/>
      <c r="G22" s="35"/>
      <c r="H22" s="35"/>
      <c r="I22" s="81"/>
    </row>
    <row r="23" spans="2:9">
      <c r="B23" s="33" t="s">
        <v>103</v>
      </c>
      <c r="C23" s="35"/>
      <c r="D23" s="35" t="s">
        <v>16</v>
      </c>
      <c r="E23" s="38"/>
      <c r="F23" s="38">
        <v>100</v>
      </c>
      <c r="G23" s="38"/>
      <c r="H23" s="38"/>
      <c r="I23" s="81"/>
    </row>
    <row r="24" spans="2:9">
      <c r="B24" s="33" t="s">
        <v>104</v>
      </c>
      <c r="C24" s="35"/>
      <c r="D24" s="35" t="s">
        <v>105</v>
      </c>
      <c r="E24" s="35"/>
      <c r="F24" s="38">
        <v>100.45</v>
      </c>
      <c r="G24" s="38"/>
      <c r="H24" s="38"/>
      <c r="I24" s="81"/>
    </row>
    <row r="25" spans="2:9">
      <c r="B25" s="33" t="s">
        <v>106</v>
      </c>
      <c r="C25" s="35"/>
      <c r="D25" s="35" t="s">
        <v>107</v>
      </c>
      <c r="E25" s="35"/>
      <c r="F25" s="38">
        <v>98.4</v>
      </c>
      <c r="G25" s="38"/>
      <c r="H25" s="38"/>
      <c r="I25" s="81"/>
    </row>
    <row r="26" spans="2:9">
      <c r="B26" s="33" t="s">
        <v>108</v>
      </c>
      <c r="C26" s="35"/>
      <c r="D26" s="35" t="s">
        <v>109</v>
      </c>
      <c r="E26" s="35"/>
      <c r="F26" s="38">
        <v>99.2</v>
      </c>
      <c r="G26" s="38"/>
      <c r="H26" s="38"/>
      <c r="I26" s="81"/>
    </row>
    <row r="27" spans="2:9">
      <c r="B27" s="33" t="s">
        <v>110</v>
      </c>
      <c r="C27" s="35"/>
      <c r="D27" s="35" t="s">
        <v>111</v>
      </c>
      <c r="E27" s="35"/>
      <c r="F27" s="38">
        <v>0.8</v>
      </c>
      <c r="G27" s="38"/>
      <c r="H27" s="38"/>
      <c r="I27" s="81"/>
    </row>
    <row r="28" spans="2:9">
      <c r="B28" s="33" t="s">
        <v>112</v>
      </c>
      <c r="C28" s="35"/>
      <c r="D28" s="35" t="s">
        <v>95</v>
      </c>
      <c r="E28" s="35"/>
      <c r="F28" s="38">
        <v>26.84</v>
      </c>
      <c r="G28" s="38"/>
      <c r="H28" s="38"/>
      <c r="I28" s="81"/>
    </row>
    <row r="29" spans="2:9">
      <c r="B29" s="33" t="s">
        <v>113</v>
      </c>
      <c r="C29" s="35"/>
      <c r="D29" s="35"/>
      <c r="E29" s="35"/>
      <c r="F29" s="35" t="s">
        <v>337</v>
      </c>
      <c r="G29" s="35"/>
      <c r="H29" s="35"/>
      <c r="I29" s="81"/>
    </row>
    <row r="30" spans="2:9">
      <c r="B30" s="33" t="s">
        <v>114</v>
      </c>
      <c r="C30" s="35"/>
      <c r="D30" s="35" t="s">
        <v>146</v>
      </c>
      <c r="E30" s="35"/>
      <c r="F30" s="38">
        <v>3</v>
      </c>
      <c r="G30" s="38"/>
      <c r="H30" s="38"/>
      <c r="I30" s="81"/>
    </row>
    <row r="31" spans="2:9">
      <c r="B31" s="33" t="s">
        <v>115</v>
      </c>
      <c r="C31" s="35"/>
      <c r="D31" s="35"/>
      <c r="E31" s="35"/>
      <c r="F31" s="38" t="s">
        <v>116</v>
      </c>
      <c r="G31" s="44"/>
      <c r="H31" s="38"/>
      <c r="I31" s="81"/>
    </row>
    <row r="32" spans="2:9">
      <c r="B32" s="33"/>
      <c r="C32" s="35"/>
      <c r="D32" s="35"/>
      <c r="E32" s="35"/>
      <c r="F32" s="38"/>
      <c r="G32" s="34"/>
      <c r="H32" s="34"/>
      <c r="I32" s="81"/>
    </row>
    <row r="33" spans="2:9">
      <c r="B33" s="25" t="s">
        <v>338</v>
      </c>
      <c r="C33" s="8"/>
      <c r="D33" s="35"/>
      <c r="E33" s="35"/>
      <c r="F33" s="35" t="s">
        <v>339</v>
      </c>
      <c r="G33" s="38"/>
      <c r="H33" s="35"/>
      <c r="I33" s="81"/>
    </row>
    <row r="34" spans="2:9">
      <c r="B34" s="18" t="s">
        <v>340</v>
      </c>
      <c r="C34" s="19"/>
      <c r="D34" s="35"/>
      <c r="E34" s="35"/>
      <c r="F34" s="35">
        <v>0.5</v>
      </c>
      <c r="G34" s="35"/>
      <c r="H34" s="35"/>
      <c r="I34" s="81"/>
    </row>
    <row r="35" spans="2:9">
      <c r="B35" s="18" t="s">
        <v>355</v>
      </c>
      <c r="C35" s="19"/>
      <c r="D35" s="35"/>
      <c r="E35" s="35"/>
      <c r="F35" s="35" t="s">
        <v>356</v>
      </c>
      <c r="G35" s="35"/>
      <c r="H35" s="35"/>
      <c r="I35" s="81"/>
    </row>
    <row r="36" spans="2:9">
      <c r="B36" s="18" t="s">
        <v>342</v>
      </c>
      <c r="C36" s="19"/>
      <c r="D36" s="35"/>
      <c r="E36" s="35"/>
      <c r="F36" s="35" t="s">
        <v>357</v>
      </c>
      <c r="G36" s="35"/>
      <c r="H36" s="35"/>
      <c r="I36" s="81"/>
    </row>
    <row r="37" spans="2:9">
      <c r="B37" s="18" t="s">
        <v>343</v>
      </c>
      <c r="C37" s="19"/>
      <c r="D37" s="35"/>
      <c r="E37" s="35"/>
      <c r="F37" s="35">
        <v>1.3</v>
      </c>
      <c r="G37" s="35"/>
      <c r="H37" s="35"/>
      <c r="I37" s="81"/>
    </row>
    <row r="38" spans="2:9">
      <c r="B38" s="18" t="s">
        <v>344</v>
      </c>
      <c r="C38" s="19"/>
      <c r="D38" s="35"/>
      <c r="E38" s="35"/>
      <c r="F38" s="35">
        <v>1.65</v>
      </c>
      <c r="G38" s="35"/>
      <c r="H38" s="35"/>
      <c r="I38" s="81"/>
    </row>
    <row r="39" spans="2:9">
      <c r="B39" s="82"/>
      <c r="C39" s="80"/>
      <c r="D39" s="80"/>
      <c r="E39" s="80"/>
      <c r="F39" s="80"/>
      <c r="G39" s="80"/>
      <c r="H39" s="80"/>
      <c r="I39" s="81"/>
    </row>
    <row r="40" spans="2:9">
      <c r="B40" s="82"/>
      <c r="C40" s="80"/>
      <c r="D40" s="70"/>
      <c r="E40" s="70"/>
      <c r="F40" s="70"/>
      <c r="G40" s="70"/>
      <c r="H40" s="70"/>
      <c r="I40" s="68"/>
    </row>
    <row r="41" spans="2:9">
      <c r="B41" s="79" t="s">
        <v>117</v>
      </c>
      <c r="C41" s="80"/>
      <c r="D41" s="83"/>
      <c r="E41" s="83"/>
      <c r="F41" s="83"/>
      <c r="G41" s="83"/>
      <c r="H41" s="84"/>
      <c r="I41" s="85"/>
    </row>
    <row r="42" spans="2:9">
      <c r="B42" s="82"/>
      <c r="C42" s="80"/>
      <c r="D42" s="24"/>
      <c r="E42" s="24"/>
      <c r="F42" s="86"/>
      <c r="G42" s="87"/>
      <c r="H42" s="70"/>
      <c r="I42" s="68"/>
    </row>
    <row r="43" spans="2:9">
      <c r="B43" s="82" t="s">
        <v>341</v>
      </c>
      <c r="C43" s="80"/>
      <c r="D43" s="24"/>
      <c r="E43" s="24"/>
      <c r="F43" s="24"/>
      <c r="G43" s="87"/>
      <c r="H43" s="83"/>
      <c r="I43" s="68"/>
    </row>
    <row r="44" spans="2:9">
      <c r="B44" s="82" t="s">
        <v>118</v>
      </c>
      <c r="C44" s="80"/>
      <c r="D44" s="24"/>
      <c r="E44" s="88"/>
      <c r="F44" s="24"/>
      <c r="G44" s="24"/>
      <c r="H44" s="83"/>
      <c r="I44" s="68"/>
    </row>
    <row r="45" spans="2:9">
      <c r="B45" s="82" t="s">
        <v>119</v>
      </c>
      <c r="C45" s="80"/>
      <c r="D45" s="24"/>
      <c r="E45" s="88"/>
      <c r="F45" s="24"/>
      <c r="G45" s="24"/>
      <c r="H45" s="83"/>
      <c r="I45" s="68"/>
    </row>
    <row r="46" spans="2:9">
      <c r="B46" s="82"/>
      <c r="C46" s="80"/>
      <c r="D46" s="24"/>
      <c r="E46" s="88"/>
      <c r="F46" s="24"/>
      <c r="G46" s="24"/>
      <c r="H46" s="83"/>
      <c r="I46" s="68"/>
    </row>
    <row r="47" spans="2:9">
      <c r="B47" s="82" t="s">
        <v>120</v>
      </c>
      <c r="C47" s="80"/>
      <c r="D47" s="19"/>
      <c r="E47" s="89"/>
      <c r="F47" s="24"/>
      <c r="G47" s="24"/>
      <c r="H47" s="83"/>
      <c r="I47" s="68"/>
    </row>
    <row r="48" spans="2:9">
      <c r="B48" s="82" t="s">
        <v>121</v>
      </c>
      <c r="C48" s="80"/>
      <c r="D48" s="21"/>
      <c r="E48" s="89"/>
      <c r="F48" s="24"/>
      <c r="G48" s="19"/>
      <c r="H48" s="83"/>
      <c r="I48" s="68"/>
    </row>
    <row r="49" spans="2:9">
      <c r="B49" s="82"/>
      <c r="C49" s="80"/>
      <c r="D49" s="21"/>
      <c r="E49" s="19"/>
      <c r="F49" s="19"/>
      <c r="G49" s="19"/>
      <c r="H49" s="83"/>
      <c r="I49" s="68"/>
    </row>
    <row r="50" spans="2:9">
      <c r="B50" s="82" t="s">
        <v>122</v>
      </c>
      <c r="C50" s="80"/>
      <c r="D50" s="19"/>
      <c r="E50" s="21"/>
      <c r="F50" s="24"/>
      <c r="G50" s="24"/>
      <c r="H50" s="83"/>
      <c r="I50" s="68"/>
    </row>
    <row r="51" spans="2:9">
      <c r="B51" s="82" t="s">
        <v>330</v>
      </c>
      <c r="C51" s="80"/>
      <c r="D51" s="19"/>
      <c r="E51" s="19"/>
      <c r="F51" s="24"/>
      <c r="G51" s="24"/>
      <c r="H51" s="83"/>
      <c r="I51" s="68"/>
    </row>
    <row r="52" spans="2:9">
      <c r="B52" s="82" t="s">
        <v>123</v>
      </c>
      <c r="C52" s="80"/>
      <c r="D52" s="19"/>
      <c r="E52" s="88"/>
      <c r="F52" s="24"/>
      <c r="G52" s="24"/>
      <c r="H52" s="83"/>
      <c r="I52" s="68"/>
    </row>
    <row r="53" spans="2:9">
      <c r="B53" s="82"/>
      <c r="C53" s="80"/>
      <c r="D53" s="19"/>
      <c r="E53" s="19"/>
      <c r="F53" s="24"/>
      <c r="G53" s="24"/>
      <c r="H53" s="83"/>
      <c r="I53" s="68"/>
    </row>
    <row r="54" spans="2:9">
      <c r="B54" s="82" t="s">
        <v>331</v>
      </c>
      <c r="C54" s="80"/>
      <c r="D54" s="19"/>
      <c r="E54" s="21"/>
      <c r="F54" s="24"/>
      <c r="G54" s="19"/>
      <c r="H54" s="83"/>
      <c r="I54" s="68"/>
    </row>
    <row r="55" spans="2:9">
      <c r="B55" s="82"/>
      <c r="C55" s="80"/>
      <c r="D55" s="19"/>
      <c r="E55" s="19"/>
      <c r="F55" s="24"/>
      <c r="G55" s="19"/>
      <c r="H55" s="83"/>
      <c r="I55" s="68"/>
    </row>
    <row r="56" spans="2:9">
      <c r="B56" s="82"/>
      <c r="C56" s="80"/>
      <c r="D56" s="8"/>
      <c r="E56" s="19"/>
      <c r="F56" s="19"/>
      <c r="G56" s="19"/>
      <c r="H56" s="83"/>
      <c r="I56" s="68"/>
    </row>
    <row r="57" spans="2:9">
      <c r="B57" s="82"/>
      <c r="C57" s="24"/>
      <c r="D57" s="8"/>
      <c r="E57" s="19"/>
      <c r="F57" s="19"/>
      <c r="G57" s="19"/>
      <c r="H57" s="83"/>
      <c r="I57" s="68"/>
    </row>
    <row r="58" spans="2:9">
      <c r="B58" s="5"/>
      <c r="C58" s="86"/>
      <c r="D58" s="8"/>
      <c r="E58" s="83"/>
      <c r="F58" s="83"/>
      <c r="G58" s="83"/>
      <c r="H58" s="83"/>
      <c r="I58" s="68"/>
    </row>
    <row r="59" spans="2:9">
      <c r="B59" s="18"/>
      <c r="C59" s="19"/>
      <c r="D59" s="8"/>
      <c r="E59" s="83"/>
      <c r="F59" s="70"/>
      <c r="G59" s="70"/>
      <c r="H59" s="83"/>
      <c r="I59" s="68"/>
    </row>
    <row r="60" spans="2:9">
      <c r="B60" s="5" t="s">
        <v>1</v>
      </c>
      <c r="C60" s="21"/>
      <c r="D60" s="8"/>
      <c r="E60" s="83"/>
      <c r="F60" s="70"/>
      <c r="G60" s="70"/>
      <c r="H60" s="70"/>
      <c r="I60" s="68"/>
    </row>
    <row r="61" spans="2:9">
      <c r="B61" s="5" t="s">
        <v>124</v>
      </c>
      <c r="C61" s="21"/>
      <c r="D61" s="8"/>
      <c r="E61" s="70"/>
      <c r="F61" s="70"/>
      <c r="G61" s="70"/>
      <c r="H61" s="70"/>
      <c r="I61" s="68"/>
    </row>
    <row r="62" spans="2:9">
      <c r="B62" s="25"/>
      <c r="C62" s="21"/>
      <c r="D62" s="8"/>
      <c r="E62" s="70"/>
      <c r="F62" s="70"/>
      <c r="G62" s="70"/>
      <c r="H62" s="70"/>
      <c r="I62" s="68"/>
    </row>
    <row r="63" spans="2:9">
      <c r="B63" s="82"/>
      <c r="C63" s="80"/>
      <c r="D63" s="70"/>
      <c r="E63" s="70"/>
      <c r="F63" s="70"/>
      <c r="G63" s="70"/>
      <c r="H63" s="70"/>
      <c r="I63" s="68"/>
    </row>
    <row r="64" spans="2:9" ht="13.5" thickBot="1">
      <c r="B64" s="90"/>
      <c r="C64" s="91"/>
      <c r="D64" s="92"/>
      <c r="E64" s="92"/>
      <c r="F64" s="92"/>
      <c r="G64" s="92"/>
      <c r="H64" s="92"/>
      <c r="I64" s="72"/>
    </row>
  </sheetData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opLeftCell="A33" workbookViewId="0">
      <selection activeCell="D37" sqref="D37"/>
    </sheetView>
  </sheetViews>
  <sheetFormatPr baseColWidth="10" defaultRowHeight="12.75"/>
  <cols>
    <col min="2" max="2" width="12" bestFit="1" customWidth="1"/>
  </cols>
  <sheetData>
    <row r="1" spans="2:10" ht="13.5" thickBot="1"/>
    <row r="2" spans="2:10">
      <c r="B2" s="93"/>
      <c r="C2" s="94"/>
      <c r="D2" s="93"/>
      <c r="E2" s="95"/>
      <c r="F2" s="95"/>
      <c r="G2" s="95"/>
      <c r="H2" s="95"/>
      <c r="I2" s="95"/>
      <c r="J2" s="94"/>
    </row>
    <row r="3" spans="2:10" ht="15.75">
      <c r="B3" s="32"/>
      <c r="C3" s="31"/>
      <c r="D3" s="96" t="s">
        <v>0</v>
      </c>
      <c r="E3" s="30"/>
      <c r="F3" s="30"/>
      <c r="G3" s="30"/>
      <c r="H3" s="30"/>
      <c r="I3" s="30"/>
      <c r="J3" s="31"/>
    </row>
    <row r="4" spans="2:10" ht="15.75">
      <c r="B4" s="32"/>
      <c r="C4" s="31"/>
      <c r="D4" s="96"/>
      <c r="E4" s="30"/>
      <c r="F4" s="30"/>
      <c r="G4" s="30"/>
      <c r="H4" s="30"/>
      <c r="I4" s="30"/>
      <c r="J4" s="31"/>
    </row>
    <row r="5" spans="2:10">
      <c r="B5" s="32"/>
      <c r="C5" s="31"/>
      <c r="D5" s="32"/>
      <c r="E5" s="30"/>
      <c r="F5" s="30"/>
      <c r="G5" s="30"/>
      <c r="H5" s="30"/>
      <c r="I5" s="30"/>
      <c r="J5" s="31"/>
    </row>
    <row r="6" spans="2:10" ht="13.5" thickBot="1">
      <c r="B6" s="97"/>
      <c r="C6" s="98"/>
      <c r="D6" s="99" t="s">
        <v>1</v>
      </c>
      <c r="E6" s="100"/>
      <c r="F6" s="100"/>
      <c r="G6" s="101" t="s">
        <v>125</v>
      </c>
      <c r="H6" s="101"/>
      <c r="I6" s="102"/>
      <c r="J6" s="98"/>
    </row>
    <row r="7" spans="2:10">
      <c r="B7" s="93"/>
      <c r="C7" s="70"/>
      <c r="D7" s="70"/>
      <c r="E7" s="70"/>
      <c r="F7" s="70"/>
      <c r="G7" s="95"/>
      <c r="H7" s="95"/>
      <c r="I7" s="95"/>
      <c r="J7" s="94"/>
    </row>
    <row r="8" spans="2:10">
      <c r="B8" s="32" t="s">
        <v>3</v>
      </c>
      <c r="C8" s="15" t="s">
        <v>305</v>
      </c>
      <c r="D8" s="15"/>
      <c r="E8" s="77"/>
      <c r="F8" s="77"/>
      <c r="G8" s="103"/>
      <c r="H8" s="103"/>
      <c r="I8" s="103"/>
      <c r="J8" s="104"/>
    </row>
    <row r="9" spans="2:10">
      <c r="B9" s="32"/>
      <c r="C9" s="15"/>
      <c r="D9" s="15"/>
      <c r="E9" s="77"/>
      <c r="F9" s="77"/>
      <c r="G9" s="103"/>
      <c r="H9" s="103"/>
      <c r="I9" s="103"/>
      <c r="J9" s="104">
        <v>8</v>
      </c>
    </row>
    <row r="10" spans="2:10">
      <c r="B10" s="32" t="s">
        <v>4</v>
      </c>
      <c r="C10" s="15" t="s">
        <v>306</v>
      </c>
      <c r="D10" s="15"/>
      <c r="E10" s="77"/>
      <c r="F10" s="77"/>
      <c r="G10" s="103"/>
      <c r="H10" s="103"/>
      <c r="I10" s="103"/>
      <c r="J10" s="104"/>
    </row>
    <row r="11" spans="2:10">
      <c r="B11" s="32"/>
      <c r="C11" s="15"/>
      <c r="D11" s="15"/>
      <c r="E11" s="77"/>
      <c r="F11" s="77"/>
      <c r="G11" s="103"/>
      <c r="H11" s="103"/>
      <c r="I11" s="103"/>
      <c r="J11" s="104"/>
    </row>
    <row r="12" spans="2:10">
      <c r="B12" s="32" t="s">
        <v>5</v>
      </c>
      <c r="C12" s="15" t="s">
        <v>345</v>
      </c>
      <c r="D12" s="15"/>
      <c r="E12" s="77"/>
      <c r="F12" s="77"/>
      <c r="G12" s="103"/>
      <c r="H12" s="103"/>
      <c r="I12" s="103"/>
      <c r="J12" s="104"/>
    </row>
    <row r="13" spans="2:10">
      <c r="B13" s="32"/>
      <c r="C13" s="70"/>
      <c r="D13" s="70"/>
      <c r="E13" s="70"/>
      <c r="F13" s="70"/>
      <c r="G13" s="30"/>
      <c r="H13" s="30"/>
      <c r="I13" s="30"/>
      <c r="J13" s="31"/>
    </row>
    <row r="14" spans="2:10">
      <c r="B14" s="32" t="s">
        <v>6</v>
      </c>
      <c r="C14" s="70"/>
      <c r="D14" s="77" t="s">
        <v>7</v>
      </c>
      <c r="E14" s="77"/>
      <c r="F14" s="77"/>
      <c r="G14" s="103"/>
      <c r="H14" s="103"/>
      <c r="I14" s="103"/>
      <c r="J14" s="31"/>
    </row>
    <row r="15" spans="2:10" ht="13.5" thickBot="1">
      <c r="B15" s="97"/>
      <c r="C15" s="105"/>
      <c r="D15" s="106"/>
      <c r="E15" s="106"/>
      <c r="F15" s="106"/>
      <c r="G15" s="106"/>
      <c r="H15" s="106"/>
      <c r="I15" s="106"/>
      <c r="J15" s="98"/>
    </row>
    <row r="16" spans="2:10">
      <c r="B16" s="107"/>
      <c r="C16" s="108"/>
      <c r="D16" s="108"/>
      <c r="E16" s="108"/>
      <c r="F16" s="108"/>
      <c r="G16" s="108"/>
      <c r="H16" s="108"/>
      <c r="I16" s="108"/>
      <c r="J16" s="109"/>
    </row>
    <row r="17" spans="2:18">
      <c r="B17" s="110"/>
      <c r="C17" s="111"/>
      <c r="D17" s="112" t="s">
        <v>126</v>
      </c>
      <c r="E17" s="111"/>
      <c r="F17" s="111"/>
      <c r="G17" s="111"/>
      <c r="H17" s="111"/>
      <c r="I17" s="111"/>
      <c r="J17" s="113"/>
    </row>
    <row r="18" spans="2:18">
      <c r="B18" s="110"/>
      <c r="C18" s="111"/>
      <c r="D18" s="112"/>
      <c r="E18" s="111"/>
      <c r="F18" s="111"/>
      <c r="G18" s="111"/>
      <c r="H18" s="111"/>
      <c r="I18" s="111"/>
      <c r="J18" s="113"/>
    </row>
    <row r="19" spans="2:18">
      <c r="B19" s="110"/>
      <c r="C19" s="111"/>
      <c r="D19" s="112"/>
      <c r="E19" s="111"/>
      <c r="F19" s="111"/>
      <c r="G19" s="111"/>
      <c r="H19" s="111"/>
      <c r="I19" s="111"/>
      <c r="J19" s="113"/>
    </row>
    <row r="20" spans="2:18">
      <c r="B20" s="110"/>
      <c r="C20" s="111" t="s">
        <v>127</v>
      </c>
      <c r="D20" s="112" t="s">
        <v>128</v>
      </c>
      <c r="E20" s="114" t="s">
        <v>129</v>
      </c>
      <c r="F20" s="115">
        <v>1</v>
      </c>
      <c r="G20" s="116" t="s">
        <v>130</v>
      </c>
      <c r="H20" s="115">
        <v>3.8</v>
      </c>
      <c r="I20" s="115" t="s">
        <v>131</v>
      </c>
      <c r="J20" s="117">
        <v>2.65</v>
      </c>
    </row>
    <row r="21" spans="2:18">
      <c r="B21" s="110"/>
      <c r="C21" s="111"/>
      <c r="D21" s="112"/>
      <c r="E21" s="114" t="s">
        <v>132</v>
      </c>
      <c r="F21" s="115">
        <v>1</v>
      </c>
      <c r="G21" s="115" t="s">
        <v>133</v>
      </c>
      <c r="H21" s="115">
        <v>13.85</v>
      </c>
      <c r="I21" s="116" t="s">
        <v>134</v>
      </c>
      <c r="J21" s="117">
        <v>4.59</v>
      </c>
    </row>
    <row r="22" spans="2:18">
      <c r="B22" s="110"/>
      <c r="C22" s="111"/>
      <c r="D22" s="112"/>
      <c r="E22" s="111"/>
      <c r="F22" s="111"/>
      <c r="G22" s="111"/>
      <c r="H22" s="111"/>
      <c r="I22" s="111"/>
      <c r="J22" s="113"/>
    </row>
    <row r="23" spans="2:18">
      <c r="B23" s="110"/>
      <c r="C23" s="111"/>
      <c r="D23" s="112" t="s">
        <v>135</v>
      </c>
      <c r="E23" s="118" t="s">
        <v>136</v>
      </c>
      <c r="F23" s="111"/>
      <c r="G23" s="111"/>
      <c r="H23" s="111"/>
      <c r="I23" s="111"/>
      <c r="J23" s="113"/>
    </row>
    <row r="24" spans="2:18">
      <c r="B24" s="110" t="s">
        <v>346</v>
      </c>
      <c r="C24" s="111"/>
      <c r="D24" s="111"/>
      <c r="E24" s="111"/>
      <c r="F24" s="111"/>
      <c r="G24" s="111"/>
      <c r="H24" s="111"/>
      <c r="I24" s="111"/>
      <c r="J24" s="113"/>
    </row>
    <row r="25" spans="2:18">
      <c r="B25" s="119" t="s">
        <v>137</v>
      </c>
      <c r="C25" s="118" t="s">
        <v>138</v>
      </c>
      <c r="D25" s="118" t="s">
        <v>347</v>
      </c>
      <c r="E25" s="118" t="s">
        <v>139</v>
      </c>
      <c r="F25" s="120" t="s">
        <v>140</v>
      </c>
      <c r="G25" s="120" t="s">
        <v>141</v>
      </c>
      <c r="H25" s="120" t="s">
        <v>142</v>
      </c>
      <c r="I25" s="120" t="s">
        <v>143</v>
      </c>
      <c r="J25" s="121"/>
    </row>
    <row r="26" spans="2:18">
      <c r="B26" s="119" t="s">
        <v>26</v>
      </c>
      <c r="C26" s="118" t="s">
        <v>144</v>
      </c>
      <c r="D26" s="118" t="s">
        <v>95</v>
      </c>
      <c r="E26" s="118" t="s">
        <v>16</v>
      </c>
      <c r="F26" s="118" t="s">
        <v>145</v>
      </c>
      <c r="G26" s="118" t="s">
        <v>146</v>
      </c>
      <c r="H26" s="118" t="s">
        <v>147</v>
      </c>
      <c r="I26" s="118" t="s">
        <v>148</v>
      </c>
      <c r="J26" s="122"/>
    </row>
    <row r="27" spans="2:18">
      <c r="B27" s="110"/>
      <c r="C27" s="111"/>
      <c r="D27" s="111"/>
      <c r="E27" s="111"/>
      <c r="F27" s="111"/>
      <c r="G27" s="111"/>
      <c r="H27" s="111"/>
      <c r="I27" s="111"/>
      <c r="J27" s="113"/>
    </row>
    <row r="28" spans="2:18">
      <c r="B28" s="123"/>
      <c r="C28" s="114"/>
      <c r="D28" s="114"/>
      <c r="E28" s="114"/>
      <c r="F28" s="114"/>
      <c r="G28" s="114"/>
      <c r="H28" s="114"/>
      <c r="I28" s="114"/>
      <c r="J28" s="113"/>
    </row>
    <row r="29" spans="2:18">
      <c r="B29" s="123">
        <v>98.5</v>
      </c>
      <c r="C29" s="124">
        <f>'P1'!I17</f>
        <v>33</v>
      </c>
      <c r="D29" s="115">
        <f>5 * C29/7.5</f>
        <v>22</v>
      </c>
      <c r="E29" s="115">
        <v>0.8</v>
      </c>
      <c r="F29" s="115">
        <v>535</v>
      </c>
      <c r="G29" s="115">
        <v>23</v>
      </c>
      <c r="H29" s="115">
        <f>F29/(H21*G29)</f>
        <v>1.6794851671637105</v>
      </c>
      <c r="I29" s="114">
        <f>((5.71*D29)+(0.25*(E29+H29)))/3</f>
        <v>42.079957097263645</v>
      </c>
      <c r="J29" s="125"/>
    </row>
    <row r="30" spans="2:18">
      <c r="B30" s="123"/>
      <c r="C30" s="124"/>
      <c r="D30" s="115" t="s">
        <v>348</v>
      </c>
      <c r="E30" s="115"/>
      <c r="F30" s="115"/>
      <c r="G30" s="115"/>
      <c r="H30" s="115"/>
      <c r="I30" s="114"/>
      <c r="J30" s="125"/>
      <c r="L30" s="126"/>
      <c r="N30" s="126"/>
      <c r="O30" s="126"/>
      <c r="P30" s="126"/>
      <c r="Q30" s="126"/>
      <c r="R30" s="126"/>
    </row>
    <row r="31" spans="2:18">
      <c r="B31" s="123">
        <v>97</v>
      </c>
      <c r="C31" s="124">
        <f>'P1'!I20</f>
        <v>70</v>
      </c>
      <c r="D31" s="115">
        <f>5 * C31/7.5</f>
        <v>46.666666666666664</v>
      </c>
      <c r="E31" s="115">
        <v>0.8</v>
      </c>
      <c r="F31" s="115">
        <v>560</v>
      </c>
      <c r="G31" s="115">
        <v>24</v>
      </c>
      <c r="H31" s="115">
        <f>F31/(H21*G31)</f>
        <v>1.6847172081829123</v>
      </c>
      <c r="I31" s="114">
        <f>((5.71*D31)+(0.25*(E31+H31)))/3</f>
        <v>89.029281989570791</v>
      </c>
      <c r="J31" s="125"/>
      <c r="L31" s="126"/>
      <c r="N31" s="126"/>
      <c r="O31" s="126"/>
      <c r="P31" s="126"/>
      <c r="Q31" s="126"/>
      <c r="R31" s="126"/>
    </row>
    <row r="32" spans="2:18">
      <c r="B32" s="123"/>
      <c r="C32" s="124"/>
      <c r="D32" s="115"/>
      <c r="E32" s="115"/>
      <c r="F32" s="115"/>
      <c r="G32" s="115"/>
      <c r="H32" s="115"/>
      <c r="I32" s="114"/>
      <c r="J32" s="125"/>
      <c r="L32" s="126"/>
      <c r="N32" s="126"/>
      <c r="O32" s="126"/>
      <c r="Q32" s="126"/>
      <c r="R32" s="126"/>
    </row>
    <row r="33" spans="2:18">
      <c r="B33" s="123">
        <v>95.5</v>
      </c>
      <c r="C33" s="124">
        <f>'P1'!I23</f>
        <v>75</v>
      </c>
      <c r="D33" s="115">
        <f>5 * C33/7.5</f>
        <v>50</v>
      </c>
      <c r="E33" s="115">
        <v>0.8</v>
      </c>
      <c r="F33" s="115">
        <v>545</v>
      </c>
      <c r="G33" s="115">
        <v>22</v>
      </c>
      <c r="H33" s="115">
        <f>F33/(H21*G33)</f>
        <v>1.7886445684279619</v>
      </c>
      <c r="I33" s="114">
        <f>((5.71*D33)+(0.25*(E33+H33)))/3</f>
        <v>95.382387047368994</v>
      </c>
      <c r="J33" s="125"/>
      <c r="L33" s="126"/>
      <c r="N33" s="126"/>
      <c r="O33" s="126"/>
      <c r="Q33" s="126"/>
      <c r="R33" s="126"/>
    </row>
    <row r="34" spans="2:18">
      <c r="B34" s="127"/>
      <c r="C34" s="124"/>
      <c r="D34" s="115"/>
      <c r="E34" s="115"/>
      <c r="F34" s="115"/>
      <c r="G34" s="115"/>
      <c r="H34" s="115"/>
      <c r="I34" s="114"/>
      <c r="J34" s="125"/>
      <c r="L34" s="126"/>
      <c r="N34" s="126"/>
      <c r="O34" s="126"/>
      <c r="Q34" s="126"/>
      <c r="R34" s="126"/>
    </row>
    <row r="35" spans="2:18">
      <c r="B35" s="128">
        <v>94</v>
      </c>
      <c r="C35" s="124">
        <f>'P1'!I26</f>
        <v>80</v>
      </c>
      <c r="D35" s="115">
        <f>5 * C35/7.5</f>
        <v>53.333333333333336</v>
      </c>
      <c r="E35" s="115">
        <v>0.8</v>
      </c>
      <c r="F35" s="115">
        <v>510</v>
      </c>
      <c r="G35" s="115">
        <v>21</v>
      </c>
      <c r="H35" s="115">
        <f>F35/(H21*G35)</f>
        <v>1.7534811758638476</v>
      </c>
      <c r="I35" s="114">
        <f>((5.71*D35)+(0.25*(E35+H35)))/3</f>
        <v>101.72390120909978</v>
      </c>
      <c r="J35" s="125"/>
      <c r="L35" s="126"/>
      <c r="N35" s="126"/>
      <c r="O35" s="126"/>
      <c r="Q35" s="126"/>
      <c r="R35" s="126"/>
    </row>
    <row r="36" spans="2:18">
      <c r="B36" s="128"/>
      <c r="C36" s="129"/>
      <c r="D36" s="115" t="s">
        <v>349</v>
      </c>
      <c r="E36" s="115"/>
      <c r="F36" s="115"/>
      <c r="G36" s="115"/>
      <c r="H36" s="115"/>
      <c r="I36" s="114"/>
      <c r="J36" s="125"/>
      <c r="L36" s="126"/>
      <c r="N36" s="126"/>
      <c r="O36" s="126"/>
      <c r="Q36" s="126"/>
      <c r="R36" s="126"/>
    </row>
    <row r="37" spans="2:18">
      <c r="B37" s="128"/>
      <c r="C37" s="129"/>
      <c r="D37" s="115"/>
      <c r="E37" s="115"/>
      <c r="F37" s="115"/>
      <c r="G37" s="115"/>
      <c r="H37" s="115">
        <f>AVERAGE(H29:H36)</f>
        <v>1.7265820299096082</v>
      </c>
      <c r="I37" s="114">
        <f>AVERAGE(I29:I36)</f>
        <v>82.053881835825806</v>
      </c>
      <c r="J37" s="125"/>
      <c r="L37" s="126"/>
      <c r="N37" s="126"/>
      <c r="O37" s="126"/>
      <c r="Q37" s="126"/>
      <c r="R37" s="126"/>
    </row>
    <row r="38" spans="2:18">
      <c r="B38" s="128"/>
      <c r="C38" s="129"/>
      <c r="D38" s="115"/>
      <c r="E38" s="115"/>
      <c r="F38" s="115"/>
      <c r="G38" s="115"/>
      <c r="H38" s="115"/>
      <c r="I38" s="114"/>
      <c r="J38" s="125"/>
      <c r="L38" s="126"/>
      <c r="N38" s="126"/>
      <c r="O38" s="126"/>
      <c r="Q38" s="126"/>
      <c r="R38" s="126"/>
    </row>
    <row r="39" spans="2:18">
      <c r="B39" s="128"/>
      <c r="C39" s="129"/>
      <c r="D39" s="115"/>
      <c r="E39" s="115"/>
      <c r="F39" s="115"/>
      <c r="G39" s="115"/>
      <c r="H39" s="115"/>
      <c r="I39" s="114"/>
      <c r="J39" s="125"/>
      <c r="L39" s="126"/>
      <c r="N39" s="126"/>
      <c r="O39" s="126"/>
      <c r="Q39" s="126"/>
      <c r="R39" s="126"/>
    </row>
    <row r="40" spans="2:18">
      <c r="B40" s="128"/>
      <c r="C40" s="129"/>
      <c r="D40" s="115"/>
      <c r="E40" s="115"/>
      <c r="F40" s="115"/>
      <c r="G40" s="115"/>
      <c r="H40" s="115"/>
      <c r="I40" s="114"/>
      <c r="J40" s="125"/>
      <c r="L40" s="126"/>
      <c r="N40" s="126"/>
      <c r="O40" s="126"/>
      <c r="Q40" s="126"/>
      <c r="R40" s="126"/>
    </row>
    <row r="41" spans="2:18">
      <c r="B41" s="128"/>
      <c r="C41" s="129"/>
      <c r="D41" s="115"/>
      <c r="E41" s="115"/>
      <c r="F41" s="115"/>
      <c r="G41" s="115"/>
      <c r="H41" s="115"/>
      <c r="I41" s="114"/>
      <c r="J41" s="125"/>
      <c r="L41" s="126"/>
      <c r="N41" s="126"/>
      <c r="O41" s="126"/>
      <c r="Q41" s="126"/>
      <c r="R41" s="126"/>
    </row>
    <row r="42" spans="2:18">
      <c r="B42" s="128"/>
      <c r="C42" s="111"/>
      <c r="D42" s="115"/>
      <c r="E42" s="115"/>
      <c r="F42" s="111"/>
      <c r="G42" s="111"/>
      <c r="H42" s="115"/>
      <c r="I42" s="114"/>
      <c r="J42" s="113"/>
      <c r="L42" s="130"/>
      <c r="N42" s="130"/>
      <c r="O42" s="130"/>
      <c r="Q42" s="130"/>
      <c r="R42" s="130"/>
    </row>
    <row r="43" spans="2:18">
      <c r="B43" s="128"/>
      <c r="C43" s="131" t="s">
        <v>149</v>
      </c>
      <c r="D43" s="115"/>
      <c r="E43" s="115"/>
      <c r="F43" s="132"/>
      <c r="G43" s="132"/>
      <c r="H43" s="115"/>
      <c r="I43" s="114"/>
      <c r="J43" s="113"/>
      <c r="L43" s="130"/>
      <c r="N43" s="130"/>
      <c r="O43" s="130"/>
      <c r="Q43" s="130"/>
      <c r="R43" s="130"/>
    </row>
    <row r="44" spans="2:18">
      <c r="B44" s="128"/>
      <c r="C44" s="118"/>
      <c r="D44" s="115"/>
      <c r="E44" s="115"/>
      <c r="F44" s="132"/>
      <c r="G44" s="132"/>
      <c r="H44" s="115"/>
      <c r="I44" s="114"/>
      <c r="J44" s="113"/>
      <c r="L44" s="130"/>
      <c r="N44" s="130"/>
      <c r="O44" s="130"/>
      <c r="Q44" s="130"/>
      <c r="R44" s="130"/>
    </row>
    <row r="45" spans="2:18">
      <c r="B45" s="128"/>
      <c r="C45" s="118"/>
      <c r="D45" s="115"/>
      <c r="E45" s="115"/>
      <c r="F45" s="132"/>
      <c r="G45" s="132"/>
      <c r="H45" s="115"/>
      <c r="I45" s="114"/>
      <c r="J45" s="113"/>
      <c r="L45" s="130"/>
      <c r="N45" s="130"/>
      <c r="O45" s="130"/>
      <c r="Q45" s="130"/>
      <c r="R45" s="130"/>
    </row>
    <row r="46" spans="2:18">
      <c r="B46" s="110"/>
      <c r="C46" s="111"/>
      <c r="D46" s="111"/>
      <c r="E46" s="111"/>
      <c r="F46" s="111"/>
      <c r="G46" s="111"/>
      <c r="H46" s="111"/>
      <c r="I46" s="111"/>
      <c r="J46" s="113"/>
      <c r="L46" s="130"/>
      <c r="N46" s="130"/>
      <c r="O46" s="130"/>
      <c r="Q46" s="130"/>
      <c r="R46" s="130"/>
    </row>
    <row r="47" spans="2:18">
      <c r="B47" s="119" t="s">
        <v>328</v>
      </c>
      <c r="C47" s="118" t="s">
        <v>150</v>
      </c>
      <c r="D47" s="118" t="s">
        <v>151</v>
      </c>
      <c r="E47" s="118" t="s">
        <v>152</v>
      </c>
      <c r="F47" s="118" t="s">
        <v>153</v>
      </c>
      <c r="G47" s="118" t="s">
        <v>154</v>
      </c>
      <c r="H47" s="132" t="s">
        <v>155</v>
      </c>
      <c r="I47" s="118" t="s">
        <v>156</v>
      </c>
      <c r="J47" s="122" t="s">
        <v>157</v>
      </c>
      <c r="L47" s="126"/>
      <c r="N47" s="126"/>
      <c r="O47" s="126"/>
      <c r="Q47" s="126"/>
      <c r="R47" s="126"/>
    </row>
    <row r="48" spans="2:18">
      <c r="B48" s="119" t="s">
        <v>95</v>
      </c>
      <c r="C48" s="118" t="s">
        <v>71</v>
      </c>
      <c r="D48" s="118" t="s">
        <v>145</v>
      </c>
      <c r="E48" s="118" t="s">
        <v>158</v>
      </c>
      <c r="F48" s="118" t="s">
        <v>158</v>
      </c>
      <c r="G48" s="118"/>
      <c r="H48" s="118" t="s">
        <v>95</v>
      </c>
      <c r="I48" s="118"/>
      <c r="J48" s="122" t="s">
        <v>16</v>
      </c>
      <c r="L48" s="126"/>
      <c r="N48" s="126"/>
      <c r="O48" s="126"/>
      <c r="Q48" s="126"/>
      <c r="R48" s="126"/>
    </row>
    <row r="49" spans="2:18">
      <c r="B49" s="110"/>
      <c r="C49" s="111"/>
      <c r="D49" s="111"/>
      <c r="E49" s="111"/>
      <c r="F49" s="111"/>
      <c r="G49" s="118"/>
      <c r="H49" s="118"/>
      <c r="I49" s="118"/>
      <c r="J49" s="122"/>
      <c r="L49" s="130"/>
      <c r="N49" s="130"/>
      <c r="O49" s="130"/>
      <c r="Q49" s="130"/>
      <c r="R49" s="130"/>
    </row>
    <row r="50" spans="2:18">
      <c r="B50" s="128">
        <f>D29/5</f>
        <v>4.4000000000000004</v>
      </c>
      <c r="C50" s="115">
        <f>'P1'!R17</f>
        <v>16.876750700280102</v>
      </c>
      <c r="D50" s="115">
        <f>(100*F29)/(100+C50)</f>
        <v>457.74715398442186</v>
      </c>
      <c r="E50" s="115">
        <f>D50/J20</f>
        <v>172.73477508846108</v>
      </c>
      <c r="F50" s="115">
        <f>(G29*H21)-E50</f>
        <v>145.81522491153893</v>
      </c>
      <c r="G50" s="115">
        <f>F50/E50</f>
        <v>0.84415674166862997</v>
      </c>
      <c r="H50" s="132">
        <f>H29*1.5</f>
        <v>2.519227750745566</v>
      </c>
      <c r="I50" s="133">
        <v>0.22</v>
      </c>
      <c r="J50" s="117">
        <f>0.75*(I50/(1+G50)*LOG((H54+J21)/H54))</f>
        <v>2.0670910498380601E-2</v>
      </c>
    </row>
    <row r="51" spans="2:18">
      <c r="B51" s="128">
        <f>D31/5</f>
        <v>9.3333333333333321</v>
      </c>
      <c r="C51" s="115">
        <f>'P1'!R20</f>
        <v>10.635571501793947</v>
      </c>
      <c r="D51" s="115">
        <f>(100*F31)/(100+C51)</f>
        <v>506.16631920315035</v>
      </c>
      <c r="E51" s="115">
        <f>D51/J20</f>
        <v>191.00615818986807</v>
      </c>
      <c r="F51" s="115">
        <f>(G31*H21)-E51</f>
        <v>141.3938418101319</v>
      </c>
      <c r="G51" s="115">
        <f>F51/E51</f>
        <v>0.7402580270191107</v>
      </c>
      <c r="H51" s="132">
        <f>H31*3</f>
        <v>5.0541516245487372</v>
      </c>
      <c r="I51" s="133">
        <v>0.22</v>
      </c>
      <c r="J51" s="117">
        <f>1.5*(I51/(1+G51)*LOG((H54+J21)/H54))</f>
        <v>4.3810053865763698E-2</v>
      </c>
    </row>
    <row r="52" spans="2:18">
      <c r="B52" s="128">
        <f>D33/5</f>
        <v>10</v>
      </c>
      <c r="C52" s="115">
        <f>'P1'!R23</f>
        <v>6.1867704280155635</v>
      </c>
      <c r="D52" s="115">
        <f>(100*F33)/(100+C52)</f>
        <v>513.24661048002929</v>
      </c>
      <c r="E52" s="115">
        <f>D52/J20</f>
        <v>193.67796621887899</v>
      </c>
      <c r="F52" s="115">
        <f>(G33*H21)-E52</f>
        <v>111.022033781121</v>
      </c>
      <c r="G52" s="115">
        <f>F52/E52</f>
        <v>0.57323006818262934</v>
      </c>
      <c r="H52" s="132">
        <f>H33*4.5</f>
        <v>8.0489005579258279</v>
      </c>
      <c r="I52" s="133">
        <v>0.05</v>
      </c>
      <c r="J52" s="117">
        <f>2.25*(I52/(1+G52)*LOG((H54+J21)/H54))</f>
        <v>1.6520902841421575E-2</v>
      </c>
    </row>
    <row r="53" spans="2:18">
      <c r="B53" s="128">
        <f>D35/5</f>
        <v>10.666666666666668</v>
      </c>
      <c r="C53" s="115">
        <f>'P1'!R26</f>
        <v>9.1413357000221982</v>
      </c>
      <c r="D53" s="115">
        <f>(100*F35)/(100+C53)</f>
        <v>467.28400081317335</v>
      </c>
      <c r="E53" s="115">
        <f>D53/J20</f>
        <v>176.33358521251824</v>
      </c>
      <c r="F53" s="115">
        <f>(G35*H21)-E53</f>
        <v>114.51641478748172</v>
      </c>
      <c r="G53" s="115">
        <f>F53/E53</f>
        <v>0.64943053615943824</v>
      </c>
      <c r="H53" s="132">
        <f>H35*6</f>
        <v>10.520887055183085</v>
      </c>
      <c r="I53" s="133">
        <v>0.05</v>
      </c>
      <c r="J53" s="117">
        <f>3*(I53/(1+G53)*LOG((H54+J21)/H54))</f>
        <v>2.1010225880071766E-2</v>
      </c>
    </row>
    <row r="54" spans="2:18">
      <c r="B54" s="128">
        <f>SUM(B50:B53)</f>
        <v>34.400000000000006</v>
      </c>
      <c r="C54" s="118"/>
      <c r="D54" s="115"/>
      <c r="E54" s="115"/>
      <c r="F54" s="115"/>
      <c r="G54" s="115"/>
      <c r="H54" s="132">
        <f>AVERAGE(H50:H53)</f>
        <v>6.535791747100804</v>
      </c>
      <c r="I54" s="133"/>
      <c r="J54" s="117"/>
    </row>
    <row r="55" spans="2:18">
      <c r="B55" s="128"/>
      <c r="C55" s="118"/>
      <c r="D55" s="115"/>
      <c r="E55" s="115"/>
      <c r="F55" s="115"/>
      <c r="G55" s="115"/>
      <c r="H55" s="132"/>
      <c r="I55" s="133"/>
      <c r="J55" s="117">
        <f>AVERAGE(J50:J54)</f>
        <v>2.5503023271409409E-2</v>
      </c>
    </row>
    <row r="56" spans="2:18">
      <c r="B56" s="128"/>
      <c r="C56" s="118"/>
      <c r="D56" s="134" t="s">
        <v>329</v>
      </c>
      <c r="E56" s="115"/>
      <c r="F56" s="115"/>
      <c r="G56" s="115"/>
      <c r="H56" s="132"/>
      <c r="I56" s="133"/>
      <c r="J56" s="117"/>
    </row>
    <row r="57" spans="2:18">
      <c r="B57" s="128"/>
      <c r="C57" s="118"/>
      <c r="D57" s="115"/>
      <c r="E57" s="115"/>
      <c r="F57" s="115"/>
      <c r="G57" s="115"/>
      <c r="H57" s="132"/>
      <c r="I57" s="133"/>
      <c r="J57" s="117"/>
    </row>
    <row r="58" spans="2:18">
      <c r="B58" s="128"/>
      <c r="C58" s="118"/>
      <c r="D58" s="115"/>
      <c r="E58" s="115"/>
      <c r="F58" s="115"/>
      <c r="G58" s="115"/>
      <c r="H58" s="132"/>
      <c r="I58" s="133"/>
      <c r="J58" s="117"/>
    </row>
    <row r="59" spans="2:18">
      <c r="B59" s="110"/>
      <c r="C59" s="118"/>
      <c r="D59" s="115"/>
      <c r="E59" s="115"/>
      <c r="F59" s="115"/>
      <c r="G59" s="115"/>
      <c r="H59" s="132"/>
      <c r="I59" s="133"/>
      <c r="J59" s="117"/>
    </row>
    <row r="60" spans="2:18">
      <c r="B60" s="110"/>
      <c r="C60" s="118"/>
      <c r="D60" s="115"/>
      <c r="E60" s="115"/>
      <c r="F60" s="115"/>
      <c r="G60" s="115"/>
      <c r="H60" s="132"/>
      <c r="I60" s="133"/>
      <c r="J60" s="117"/>
    </row>
    <row r="61" spans="2:18">
      <c r="B61" s="110"/>
      <c r="C61" s="118"/>
      <c r="D61" s="115"/>
      <c r="E61" s="115"/>
      <c r="F61" s="115"/>
      <c r="G61" s="115"/>
      <c r="H61" s="132"/>
      <c r="I61" s="133"/>
      <c r="J61" s="117"/>
    </row>
    <row r="62" spans="2:18">
      <c r="B62" s="110"/>
      <c r="C62" s="111"/>
      <c r="D62" s="111"/>
      <c r="E62" s="111"/>
      <c r="F62" s="111"/>
      <c r="G62" s="111"/>
      <c r="H62" s="111"/>
      <c r="I62" s="111"/>
      <c r="J62" s="113"/>
    </row>
    <row r="63" spans="2:18" ht="13.5" thickBot="1">
      <c r="B63" s="135"/>
      <c r="C63" s="136"/>
      <c r="D63" s="136"/>
      <c r="E63" s="136"/>
      <c r="F63" s="136"/>
      <c r="G63" s="136"/>
      <c r="H63" s="136"/>
      <c r="I63" s="136"/>
      <c r="J63" s="137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opLeftCell="A17" zoomScaleNormal="100" workbookViewId="0">
      <selection activeCell="D37" sqref="D37"/>
    </sheetView>
  </sheetViews>
  <sheetFormatPr baseColWidth="10" defaultColWidth="18.28515625" defaultRowHeight="12.75"/>
  <cols>
    <col min="1" max="1" width="6.42578125" customWidth="1"/>
    <col min="2" max="2" width="18.5703125" customWidth="1"/>
    <col min="3" max="3" width="19.28515625" customWidth="1"/>
    <col min="4" max="4" width="13.85546875" customWidth="1"/>
    <col min="5" max="5" width="13.7109375" customWidth="1"/>
    <col min="6" max="6" width="19.5703125" customWidth="1"/>
  </cols>
  <sheetData>
    <row r="1" spans="2:6" ht="13.5" thickBot="1"/>
    <row r="2" spans="2:6">
      <c r="B2" s="138"/>
      <c r="C2" s="2"/>
      <c r="D2" s="4"/>
      <c r="E2" s="4"/>
      <c r="F2" s="3"/>
    </row>
    <row r="3" spans="2:6" ht="15.75">
      <c r="B3" s="139"/>
      <c r="C3" s="5"/>
      <c r="D3" s="28" t="s">
        <v>0</v>
      </c>
      <c r="E3" s="8"/>
      <c r="F3" s="6"/>
    </row>
    <row r="4" spans="2:6" ht="15.75">
      <c r="B4" s="139"/>
      <c r="C4" s="5"/>
      <c r="D4" s="28"/>
      <c r="E4" s="8"/>
      <c r="F4" s="6"/>
    </row>
    <row r="5" spans="2:6">
      <c r="B5" s="139"/>
      <c r="C5" s="140" t="s">
        <v>159</v>
      </c>
      <c r="D5" s="141"/>
      <c r="E5" s="142" t="s">
        <v>160</v>
      </c>
      <c r="F5" s="142"/>
    </row>
    <row r="6" spans="2:6" ht="13.5" thickBot="1">
      <c r="B6" s="143"/>
      <c r="C6" s="9"/>
      <c r="D6" s="27"/>
      <c r="E6" s="27"/>
      <c r="F6" s="10"/>
    </row>
    <row r="7" spans="2:6">
      <c r="B7" s="2"/>
      <c r="C7" s="66"/>
      <c r="D7" s="66"/>
      <c r="E7" s="66"/>
      <c r="F7" s="65"/>
    </row>
    <row r="8" spans="2:6">
      <c r="B8" s="5" t="s">
        <v>161</v>
      </c>
      <c r="C8" s="15" t="s">
        <v>305</v>
      </c>
      <c r="D8" s="15"/>
      <c r="E8" s="77"/>
      <c r="F8" s="78"/>
    </row>
    <row r="9" spans="2:6">
      <c r="B9" s="5"/>
      <c r="C9" s="15"/>
      <c r="D9" s="15"/>
      <c r="E9" s="77"/>
      <c r="F9" s="78">
        <v>9</v>
      </c>
    </row>
    <row r="10" spans="2:6">
      <c r="B10" s="5" t="s">
        <v>162</v>
      </c>
      <c r="C10" s="15" t="s">
        <v>306</v>
      </c>
      <c r="D10" s="15"/>
      <c r="E10" s="77"/>
      <c r="F10" s="78"/>
    </row>
    <row r="11" spans="2:6">
      <c r="B11" s="5"/>
      <c r="C11" s="15"/>
      <c r="D11" s="15"/>
      <c r="E11" s="77"/>
      <c r="F11" s="78"/>
    </row>
    <row r="12" spans="2:6">
      <c r="B12" s="5" t="s">
        <v>5</v>
      </c>
      <c r="C12" s="15" t="s">
        <v>345</v>
      </c>
      <c r="D12" s="15"/>
      <c r="E12" s="77"/>
      <c r="F12" s="78"/>
    </row>
    <row r="13" spans="2:6">
      <c r="B13" s="5"/>
      <c r="C13" s="70"/>
      <c r="D13" s="70"/>
      <c r="E13" s="70"/>
      <c r="F13" s="68"/>
    </row>
    <row r="14" spans="2:6">
      <c r="B14" s="5" t="s">
        <v>163</v>
      </c>
      <c r="C14" s="70"/>
      <c r="D14" s="77" t="s">
        <v>7</v>
      </c>
      <c r="E14" s="77"/>
      <c r="F14" s="78"/>
    </row>
    <row r="15" spans="2:6" ht="13.5" thickBot="1">
      <c r="B15" s="9"/>
      <c r="C15" s="27"/>
      <c r="D15" s="144"/>
      <c r="E15" s="144"/>
      <c r="F15" s="145"/>
    </row>
    <row r="16" spans="2:6">
      <c r="B16" s="146"/>
      <c r="C16" s="147"/>
      <c r="D16" s="148"/>
      <c r="E16" s="149"/>
      <c r="F16" s="150"/>
    </row>
    <row r="17" spans="2:6">
      <c r="B17" s="151"/>
      <c r="C17" s="152" t="s">
        <v>164</v>
      </c>
      <c r="D17" s="152"/>
      <c r="E17" s="152"/>
      <c r="F17" s="153"/>
    </row>
    <row r="18" spans="2:6">
      <c r="B18" s="151"/>
      <c r="C18" s="152"/>
      <c r="D18" s="152"/>
      <c r="E18" s="152"/>
      <c r="F18" s="153"/>
    </row>
    <row r="19" spans="2:6">
      <c r="B19" s="151"/>
      <c r="C19" s="152"/>
      <c r="D19" s="152"/>
      <c r="E19" s="152"/>
      <c r="F19" s="153"/>
    </row>
    <row r="20" spans="2:6">
      <c r="B20" s="151"/>
      <c r="C20" s="152"/>
      <c r="D20" s="152"/>
      <c r="E20" s="152"/>
      <c r="F20" s="153"/>
    </row>
    <row r="21" spans="2:6">
      <c r="B21" s="154"/>
      <c r="C21" s="155"/>
      <c r="D21" s="152"/>
      <c r="E21" s="152"/>
      <c r="F21" s="156"/>
    </row>
    <row r="22" spans="2:6">
      <c r="B22" s="151"/>
      <c r="C22" s="157"/>
      <c r="D22" s="152"/>
      <c r="E22" s="152"/>
      <c r="F22" s="153"/>
    </row>
    <row r="23" spans="2:6">
      <c r="B23" s="151"/>
      <c r="C23" s="152"/>
      <c r="D23" s="152"/>
      <c r="E23" s="157"/>
      <c r="F23" s="153"/>
    </row>
    <row r="24" spans="2:6">
      <c r="B24" s="158" t="s">
        <v>346</v>
      </c>
      <c r="C24" s="152"/>
      <c r="D24" s="152"/>
      <c r="E24" s="152"/>
      <c r="F24" s="159"/>
    </row>
    <row r="25" spans="2:6">
      <c r="B25" s="151"/>
      <c r="C25" s="56"/>
      <c r="D25" s="160" t="s">
        <v>347</v>
      </c>
      <c r="E25" s="160"/>
      <c r="F25" s="153"/>
    </row>
    <row r="26" spans="2:6">
      <c r="B26" s="151"/>
      <c r="C26" s="152"/>
      <c r="D26" s="152"/>
      <c r="E26" s="152"/>
      <c r="F26" s="153"/>
    </row>
    <row r="27" spans="2:6">
      <c r="B27" s="151"/>
      <c r="C27" s="152"/>
      <c r="D27" s="152"/>
      <c r="E27" s="152"/>
      <c r="F27" s="153"/>
    </row>
    <row r="28" spans="2:6">
      <c r="B28" s="151"/>
      <c r="C28" s="157"/>
      <c r="D28" s="152"/>
      <c r="E28" s="152"/>
      <c r="F28" s="153"/>
    </row>
    <row r="29" spans="2:6">
      <c r="B29" s="151"/>
      <c r="C29" s="157"/>
      <c r="D29" s="152"/>
      <c r="E29" s="152"/>
      <c r="F29" s="153"/>
    </row>
    <row r="30" spans="2:6">
      <c r="B30" s="151"/>
      <c r="C30" s="157"/>
      <c r="D30" s="152" t="s">
        <v>348</v>
      </c>
      <c r="E30" s="152"/>
      <c r="F30" s="153"/>
    </row>
    <row r="31" spans="2:6">
      <c r="B31" s="151"/>
      <c r="C31" s="161"/>
      <c r="D31" s="56"/>
      <c r="E31" s="152"/>
      <c r="F31" s="153"/>
    </row>
    <row r="32" spans="2:6">
      <c r="B32" s="151"/>
      <c r="C32" s="162"/>
      <c r="D32" s="152"/>
      <c r="E32" s="152"/>
      <c r="F32" s="163"/>
    </row>
    <row r="33" spans="2:6">
      <c r="B33" s="151"/>
      <c r="C33" s="164"/>
      <c r="D33" s="152" t="s">
        <v>165</v>
      </c>
      <c r="E33" s="165"/>
      <c r="F33" s="153"/>
    </row>
    <row r="34" spans="2:6">
      <c r="B34" s="151"/>
      <c r="C34" s="166"/>
      <c r="D34" s="152"/>
      <c r="E34" s="152"/>
      <c r="F34" s="153"/>
    </row>
    <row r="35" spans="2:6">
      <c r="B35" s="151"/>
      <c r="C35" s="167"/>
      <c r="D35" s="152"/>
      <c r="E35" s="152"/>
      <c r="F35" s="153"/>
    </row>
    <row r="36" spans="2:6">
      <c r="B36" s="151"/>
      <c r="C36" s="168"/>
      <c r="D36" s="160" t="s">
        <v>349</v>
      </c>
      <c r="E36" s="169"/>
      <c r="F36" s="153"/>
    </row>
    <row r="37" spans="2:6">
      <c r="B37" s="151"/>
      <c r="C37" s="157"/>
      <c r="D37" s="152"/>
      <c r="E37" s="152"/>
      <c r="F37" s="153"/>
    </row>
    <row r="38" spans="2:6">
      <c r="B38" s="151"/>
      <c r="C38" s="157" t="s">
        <v>166</v>
      </c>
      <c r="D38" s="152"/>
      <c r="E38" s="152"/>
      <c r="F38" s="153"/>
    </row>
    <row r="39" spans="2:6">
      <c r="B39" s="151"/>
      <c r="C39" s="53"/>
      <c r="D39" s="152"/>
      <c r="E39" s="152"/>
      <c r="F39" s="153"/>
    </row>
    <row r="40" spans="2:6" ht="8.25" customHeight="1">
      <c r="B40" s="151"/>
      <c r="C40" s="152"/>
      <c r="D40" s="152"/>
      <c r="E40" s="152"/>
      <c r="F40" s="153"/>
    </row>
    <row r="41" spans="2:6">
      <c r="B41" s="151"/>
      <c r="C41" s="157"/>
      <c r="D41" s="152"/>
      <c r="E41" s="152"/>
      <c r="F41" s="153"/>
    </row>
    <row r="42" spans="2:6">
      <c r="B42" s="151"/>
      <c r="C42" s="157"/>
      <c r="D42" s="152"/>
      <c r="E42" s="152"/>
      <c r="F42" s="153"/>
    </row>
    <row r="43" spans="2:6">
      <c r="B43" s="151"/>
      <c r="C43" s="152"/>
      <c r="D43" s="152"/>
      <c r="E43" s="152"/>
      <c r="F43" s="153"/>
    </row>
    <row r="44" spans="2:6">
      <c r="B44" s="151"/>
      <c r="C44" s="165"/>
      <c r="D44" s="165"/>
      <c r="E44" s="155"/>
      <c r="F44" s="153"/>
    </row>
    <row r="45" spans="2:6">
      <c r="B45" s="151"/>
      <c r="C45" s="152"/>
      <c r="D45" s="165"/>
      <c r="E45" s="155"/>
      <c r="F45" s="153"/>
    </row>
    <row r="46" spans="2:6">
      <c r="B46" s="151"/>
      <c r="C46" s="152"/>
      <c r="D46" s="165"/>
      <c r="E46" s="165"/>
      <c r="F46" s="153"/>
    </row>
    <row r="47" spans="2:6">
      <c r="B47" s="151"/>
      <c r="C47" s="152"/>
      <c r="D47" s="165"/>
      <c r="E47" s="152"/>
      <c r="F47" s="153"/>
    </row>
    <row r="48" spans="2:6">
      <c r="B48" s="151"/>
      <c r="C48" s="152"/>
      <c r="D48" s="165"/>
      <c r="E48" s="152"/>
      <c r="F48" s="153"/>
    </row>
    <row r="49" spans="2:6">
      <c r="B49" s="151"/>
      <c r="C49" s="152"/>
      <c r="D49" s="165"/>
      <c r="E49" s="152"/>
      <c r="F49" s="153"/>
    </row>
    <row r="50" spans="2:6">
      <c r="B50" s="151"/>
      <c r="C50" s="152"/>
      <c r="D50" s="165"/>
      <c r="E50" s="152"/>
      <c r="F50" s="153"/>
    </row>
    <row r="51" spans="2:6">
      <c r="B51" s="151"/>
      <c r="C51" s="152"/>
      <c r="D51" s="165"/>
      <c r="E51" s="152"/>
      <c r="F51" s="153"/>
    </row>
    <row r="52" spans="2:6">
      <c r="B52" s="151"/>
      <c r="C52" s="152"/>
      <c r="D52" s="152"/>
      <c r="E52" s="152"/>
      <c r="F52" s="153"/>
    </row>
    <row r="53" spans="2:6">
      <c r="B53" s="151"/>
      <c r="C53" s="152"/>
      <c r="D53" s="152"/>
      <c r="E53" s="152"/>
      <c r="F53" s="153"/>
    </row>
    <row r="54" spans="2:6">
      <c r="B54" s="151"/>
      <c r="C54" s="152"/>
      <c r="D54" s="152"/>
      <c r="E54" s="152"/>
      <c r="F54" s="153"/>
    </row>
    <row r="55" spans="2:6">
      <c r="B55" s="170"/>
      <c r="C55" s="126"/>
      <c r="D55" s="126"/>
      <c r="E55" s="126"/>
      <c r="F55" s="171"/>
    </row>
    <row r="56" spans="2:6">
      <c r="B56" s="170"/>
      <c r="C56" s="126"/>
      <c r="D56" s="126"/>
      <c r="E56" s="126"/>
      <c r="F56" s="171"/>
    </row>
    <row r="57" spans="2:6">
      <c r="B57" s="170"/>
      <c r="C57" s="126"/>
      <c r="D57" s="126"/>
      <c r="E57" s="126"/>
      <c r="F57" s="171"/>
    </row>
    <row r="58" spans="2:6">
      <c r="B58" s="170"/>
      <c r="C58" s="126"/>
      <c r="D58" s="126"/>
      <c r="E58" s="126"/>
      <c r="F58" s="171"/>
    </row>
    <row r="59" spans="2:6">
      <c r="B59" s="170"/>
      <c r="C59" s="126"/>
      <c r="D59" s="126"/>
      <c r="E59" s="126"/>
      <c r="F59" s="171"/>
    </row>
    <row r="60" spans="2:6">
      <c r="B60" s="170"/>
      <c r="C60" s="126"/>
      <c r="D60" s="126"/>
      <c r="E60" s="126"/>
      <c r="F60" s="171"/>
    </row>
    <row r="61" spans="2:6">
      <c r="B61" s="170"/>
      <c r="C61" s="126"/>
      <c r="D61" s="126"/>
      <c r="E61" s="126"/>
      <c r="F61" s="171"/>
    </row>
    <row r="62" spans="2:6">
      <c r="B62" s="170"/>
      <c r="C62" s="126"/>
      <c r="D62" s="126"/>
      <c r="E62" s="126"/>
      <c r="F62" s="171"/>
    </row>
    <row r="63" spans="2:6" ht="13.5" thickBot="1">
      <c r="B63" s="172"/>
      <c r="C63" s="173"/>
      <c r="D63" s="173"/>
      <c r="E63" s="173"/>
      <c r="F63" s="174"/>
    </row>
    <row r="64" spans="2:6">
      <c r="B64" s="126"/>
      <c r="C64" s="126"/>
      <c r="D64" s="126"/>
      <c r="E64" s="126"/>
      <c r="F64" s="126"/>
    </row>
    <row r="65" spans="2:6">
      <c r="B65" s="126"/>
      <c r="C65" s="126"/>
      <c r="D65" s="126"/>
      <c r="E65" s="126"/>
      <c r="F65" s="126"/>
    </row>
  </sheetData>
  <printOptions horizontalCentered="1" verticalCentered="1"/>
  <pageMargins left="0" right="0" top="0" bottom="0" header="0" footer="0"/>
  <pageSetup paperSize="9" scale="97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opLeftCell="A39" workbookViewId="0">
      <selection activeCell="D37" sqref="D37"/>
    </sheetView>
  </sheetViews>
  <sheetFormatPr baseColWidth="10" defaultRowHeight="12.75"/>
  <cols>
    <col min="2" max="2" width="12" bestFit="1" customWidth="1"/>
    <col min="7" max="7" width="8" customWidth="1"/>
  </cols>
  <sheetData>
    <row r="1" spans="2:10" ht="13.5" thickBot="1"/>
    <row r="2" spans="2:10">
      <c r="B2" s="93"/>
      <c r="C2" s="94"/>
      <c r="D2" s="93"/>
      <c r="E2" s="95"/>
      <c r="F2" s="95"/>
      <c r="G2" s="95"/>
      <c r="H2" s="95"/>
      <c r="I2" s="95"/>
      <c r="J2" s="94"/>
    </row>
    <row r="3" spans="2:10" ht="15.75">
      <c r="B3" s="32"/>
      <c r="C3" s="31"/>
      <c r="D3" s="96" t="s">
        <v>0</v>
      </c>
      <c r="E3" s="30"/>
      <c r="F3" s="30"/>
      <c r="G3" s="30"/>
      <c r="H3" s="30"/>
      <c r="I3" s="30"/>
      <c r="J3" s="31"/>
    </row>
    <row r="4" spans="2:10" ht="15.75">
      <c r="B4" s="32"/>
      <c r="C4" s="31"/>
      <c r="D4" s="96"/>
      <c r="E4" s="30"/>
      <c r="F4" s="30"/>
      <c r="G4" s="30"/>
      <c r="H4" s="30"/>
      <c r="I4" s="30"/>
      <c r="J4" s="31"/>
    </row>
    <row r="5" spans="2:10">
      <c r="B5" s="32"/>
      <c r="C5" s="31"/>
      <c r="D5" s="32"/>
      <c r="E5" s="30"/>
      <c r="F5" s="30"/>
      <c r="G5" s="30"/>
      <c r="H5" s="30"/>
      <c r="I5" s="30"/>
      <c r="J5" s="31"/>
    </row>
    <row r="6" spans="2:10" ht="13.5" thickBot="1">
      <c r="B6" s="97"/>
      <c r="C6" s="98"/>
      <c r="D6" s="99" t="s">
        <v>1</v>
      </c>
      <c r="E6" s="100"/>
      <c r="F6" s="100"/>
      <c r="G6" s="101" t="s">
        <v>125</v>
      </c>
      <c r="H6" s="101"/>
      <c r="I6" s="102"/>
      <c r="J6" s="98"/>
    </row>
    <row r="7" spans="2:10">
      <c r="B7" s="93"/>
      <c r="C7" s="70"/>
      <c r="D7" s="70"/>
      <c r="E7" s="70"/>
      <c r="F7" s="70"/>
      <c r="G7" s="95"/>
      <c r="H7" s="95"/>
      <c r="I7" s="95"/>
      <c r="J7" s="94"/>
    </row>
    <row r="8" spans="2:10">
      <c r="B8" s="32" t="s">
        <v>3</v>
      </c>
      <c r="C8" s="15" t="s">
        <v>305</v>
      </c>
      <c r="D8" s="15"/>
      <c r="E8" s="77"/>
      <c r="F8" s="77"/>
      <c r="G8" s="103"/>
      <c r="H8" s="103"/>
      <c r="I8" s="103"/>
      <c r="J8" s="104"/>
    </row>
    <row r="9" spans="2:10">
      <c r="B9" s="32"/>
      <c r="C9" s="15"/>
      <c r="D9" s="15"/>
      <c r="E9" s="77"/>
      <c r="F9" s="77"/>
      <c r="G9" s="103"/>
      <c r="H9" s="103"/>
      <c r="I9" s="103"/>
      <c r="J9" s="104">
        <v>10</v>
      </c>
    </row>
    <row r="10" spans="2:10">
      <c r="B10" s="32" t="s">
        <v>4</v>
      </c>
      <c r="C10" s="15" t="s">
        <v>306</v>
      </c>
      <c r="D10" s="15"/>
      <c r="E10" s="77"/>
      <c r="F10" s="77"/>
      <c r="G10" s="103"/>
      <c r="H10" s="103"/>
      <c r="I10" s="103"/>
      <c r="J10" s="104"/>
    </row>
    <row r="11" spans="2:10">
      <c r="B11" s="32"/>
      <c r="C11" s="15"/>
      <c r="D11" s="15"/>
      <c r="E11" s="77"/>
      <c r="F11" s="77"/>
      <c r="G11" s="103"/>
      <c r="H11" s="103"/>
      <c r="I11" s="103"/>
      <c r="J11" s="104"/>
    </row>
    <row r="12" spans="2:10">
      <c r="B12" s="32" t="s">
        <v>5</v>
      </c>
      <c r="C12" s="15" t="s">
        <v>345</v>
      </c>
      <c r="D12" s="15"/>
      <c r="E12" s="77"/>
      <c r="F12" s="77"/>
      <c r="G12" s="103"/>
      <c r="H12" s="103"/>
      <c r="I12" s="103"/>
      <c r="J12" s="104"/>
    </row>
    <row r="13" spans="2:10">
      <c r="B13" s="32"/>
      <c r="C13" s="70"/>
      <c r="D13" s="70"/>
      <c r="E13" s="70"/>
      <c r="F13" s="70"/>
      <c r="G13" s="30"/>
      <c r="H13" s="30"/>
      <c r="I13" s="30"/>
      <c r="J13" s="31"/>
    </row>
    <row r="14" spans="2:10">
      <c r="B14" s="32" t="s">
        <v>6</v>
      </c>
      <c r="C14" s="70"/>
      <c r="D14" s="77" t="s">
        <v>7</v>
      </c>
      <c r="E14" s="77"/>
      <c r="F14" s="77"/>
      <c r="G14" s="103"/>
      <c r="H14" s="103"/>
      <c r="I14" s="103"/>
      <c r="J14" s="31"/>
    </row>
    <row r="15" spans="2:10" ht="13.5" thickBot="1">
      <c r="B15" s="97"/>
      <c r="C15" s="105"/>
      <c r="D15" s="106"/>
      <c r="E15" s="106"/>
      <c r="F15" s="106"/>
      <c r="G15" s="106"/>
      <c r="H15" s="106"/>
      <c r="I15" s="106"/>
      <c r="J15" s="98"/>
    </row>
    <row r="16" spans="2:10">
      <c r="B16" s="107"/>
      <c r="C16" s="108"/>
      <c r="D16" s="108"/>
      <c r="E16" s="108"/>
      <c r="F16" s="108"/>
      <c r="G16" s="108"/>
      <c r="H16" s="108"/>
      <c r="I16" s="108"/>
      <c r="J16" s="109"/>
    </row>
    <row r="17" spans="2:18">
      <c r="B17" s="110"/>
      <c r="C17" s="111"/>
      <c r="D17" s="112"/>
      <c r="E17" s="111"/>
      <c r="F17" s="111"/>
      <c r="G17" s="111"/>
      <c r="H17" s="111"/>
      <c r="I17" s="111"/>
      <c r="J17" s="113"/>
    </row>
    <row r="18" spans="2:18">
      <c r="B18" s="110"/>
      <c r="C18" s="111"/>
      <c r="D18" s="112"/>
      <c r="E18" s="111"/>
      <c r="F18" s="111"/>
      <c r="G18" s="111"/>
      <c r="H18" s="111"/>
      <c r="I18" s="111"/>
      <c r="J18" s="113"/>
    </row>
    <row r="19" spans="2:18">
      <c r="B19" s="110"/>
      <c r="C19" s="111"/>
      <c r="D19" s="112"/>
      <c r="E19" s="111"/>
      <c r="F19" s="111"/>
      <c r="G19" s="111"/>
      <c r="H19" s="111"/>
      <c r="I19" s="111"/>
      <c r="J19" s="113"/>
    </row>
    <row r="20" spans="2:18">
      <c r="B20" s="110"/>
      <c r="C20" s="111"/>
      <c r="D20" s="112"/>
      <c r="E20" s="114"/>
      <c r="F20" s="115"/>
      <c r="G20" s="116"/>
      <c r="H20" s="115"/>
      <c r="I20" s="115"/>
      <c r="J20" s="117"/>
    </row>
    <row r="21" spans="2:18">
      <c r="B21" s="110"/>
      <c r="C21" s="111"/>
      <c r="D21" s="111"/>
      <c r="E21" s="114"/>
      <c r="F21" s="115"/>
      <c r="G21" s="115"/>
      <c r="H21" s="115"/>
      <c r="I21" s="116"/>
      <c r="J21" s="117"/>
    </row>
    <row r="22" spans="2:18">
      <c r="B22" s="110"/>
      <c r="C22" s="111"/>
      <c r="D22" s="112"/>
      <c r="E22" s="111"/>
      <c r="F22" s="111"/>
      <c r="G22" s="111"/>
      <c r="H22" s="111"/>
      <c r="I22" s="111"/>
      <c r="J22" s="113"/>
    </row>
    <row r="23" spans="2:18">
      <c r="B23" s="110"/>
      <c r="C23" s="111"/>
      <c r="D23" s="112"/>
      <c r="E23" s="118"/>
      <c r="F23" s="111"/>
      <c r="G23" s="111"/>
      <c r="H23" s="111"/>
      <c r="I23" s="111"/>
      <c r="J23" s="113"/>
    </row>
    <row r="24" spans="2:18">
      <c r="B24" s="110" t="s">
        <v>346</v>
      </c>
      <c r="C24" s="111"/>
      <c r="D24" s="111"/>
      <c r="E24" s="111"/>
      <c r="F24" s="111"/>
      <c r="G24" s="111"/>
      <c r="H24" s="111"/>
      <c r="I24" s="111"/>
      <c r="J24" s="113"/>
    </row>
    <row r="25" spans="2:18">
      <c r="B25" s="119"/>
      <c r="C25" s="118"/>
      <c r="D25" s="118" t="s">
        <v>347</v>
      </c>
      <c r="E25" s="118"/>
      <c r="F25" s="120"/>
      <c r="G25" s="120"/>
      <c r="H25" s="120"/>
      <c r="I25" s="120"/>
      <c r="J25" s="121"/>
    </row>
    <row r="26" spans="2:18">
      <c r="B26" s="119"/>
      <c r="C26" s="118"/>
      <c r="D26" s="118"/>
      <c r="E26" s="118"/>
      <c r="F26" s="124"/>
      <c r="G26" s="118"/>
      <c r="H26" s="131"/>
      <c r="I26" s="118"/>
      <c r="J26" s="122"/>
    </row>
    <row r="27" spans="2:18">
      <c r="B27" s="110"/>
      <c r="C27" s="111"/>
      <c r="D27" s="111"/>
      <c r="E27" s="111"/>
      <c r="F27" s="111"/>
      <c r="G27" s="111"/>
      <c r="H27" s="111"/>
      <c r="I27" s="111"/>
      <c r="J27" s="113"/>
    </row>
    <row r="28" spans="2:18">
      <c r="B28" s="123"/>
      <c r="C28" s="114"/>
      <c r="D28" s="114"/>
      <c r="E28" s="114"/>
      <c r="F28" s="114"/>
      <c r="G28" s="114"/>
      <c r="H28" s="114"/>
      <c r="I28" s="114"/>
      <c r="J28" s="113"/>
    </row>
    <row r="29" spans="2:18">
      <c r="B29" s="123"/>
      <c r="C29" s="455"/>
      <c r="D29" s="175"/>
      <c r="E29" s="176"/>
      <c r="F29" s="115"/>
      <c r="G29" s="115"/>
      <c r="H29" s="115"/>
      <c r="I29" s="114"/>
      <c r="J29" s="125"/>
    </row>
    <row r="30" spans="2:18">
      <c r="B30" s="123"/>
      <c r="C30" s="182"/>
      <c r="D30" s="115" t="s">
        <v>348</v>
      </c>
      <c r="E30" s="181"/>
      <c r="F30" s="115"/>
      <c r="G30" s="115"/>
      <c r="H30" s="124"/>
      <c r="I30" s="114"/>
      <c r="J30" s="125"/>
      <c r="L30" s="126"/>
      <c r="N30" s="126"/>
      <c r="O30" s="126"/>
      <c r="P30" s="126"/>
      <c r="Q30" s="126"/>
      <c r="R30" s="126"/>
    </row>
    <row r="31" spans="2:18">
      <c r="B31" s="123"/>
      <c r="C31" s="182"/>
      <c r="D31" s="115" t="s">
        <v>327</v>
      </c>
      <c r="E31" s="181"/>
      <c r="F31" s="115"/>
      <c r="G31" s="115"/>
      <c r="H31" s="115"/>
      <c r="I31" s="114"/>
      <c r="J31" s="125"/>
      <c r="L31" s="126"/>
      <c r="N31" s="126"/>
      <c r="O31" s="126"/>
      <c r="P31" s="126"/>
      <c r="Q31" s="126"/>
      <c r="R31" s="126"/>
    </row>
    <row r="32" spans="2:18">
      <c r="B32" s="123"/>
      <c r="C32" s="182"/>
      <c r="D32" s="115"/>
      <c r="E32" s="181"/>
      <c r="F32" s="115"/>
      <c r="G32" s="118"/>
      <c r="H32" s="115"/>
      <c r="I32" s="114"/>
      <c r="J32" s="125"/>
      <c r="L32" s="126"/>
      <c r="N32" s="126"/>
      <c r="O32" s="126"/>
      <c r="Q32" s="126"/>
      <c r="R32" s="126"/>
    </row>
    <row r="33" spans="2:18">
      <c r="B33" s="123"/>
      <c r="C33" s="182"/>
      <c r="D33" s="111" t="s">
        <v>167</v>
      </c>
      <c r="E33" s="181"/>
      <c r="F33" s="115"/>
      <c r="G33" s="115"/>
      <c r="H33" s="115"/>
      <c r="I33" s="114"/>
      <c r="J33" s="117"/>
      <c r="L33" s="126"/>
      <c r="N33" s="126"/>
      <c r="O33" s="126"/>
      <c r="Q33" s="126"/>
      <c r="R33" s="126"/>
    </row>
    <row r="34" spans="2:18">
      <c r="B34" s="123"/>
      <c r="C34" s="182"/>
      <c r="D34" s="115"/>
      <c r="E34" s="181"/>
      <c r="F34" s="115"/>
      <c r="G34" s="115"/>
      <c r="H34" s="115"/>
      <c r="I34" s="114"/>
      <c r="J34" s="180"/>
      <c r="L34" s="126"/>
      <c r="N34" s="126"/>
      <c r="O34" s="126"/>
      <c r="Q34" s="126"/>
      <c r="R34" s="126"/>
    </row>
    <row r="35" spans="2:18">
      <c r="B35" s="123"/>
      <c r="C35" s="182"/>
      <c r="D35" s="115"/>
      <c r="E35" s="465"/>
      <c r="F35" s="115"/>
      <c r="G35" s="115"/>
      <c r="H35" s="115"/>
      <c r="I35" s="114"/>
      <c r="J35" s="125"/>
      <c r="L35" s="126"/>
      <c r="N35" s="126"/>
      <c r="O35" s="126"/>
      <c r="Q35" s="126"/>
      <c r="R35" s="126"/>
    </row>
    <row r="36" spans="2:18">
      <c r="B36" s="127"/>
      <c r="C36" s="458"/>
      <c r="D36" s="115" t="s">
        <v>349</v>
      </c>
      <c r="E36" s="181"/>
      <c r="F36" s="115"/>
      <c r="G36" s="115"/>
      <c r="H36" s="115"/>
      <c r="I36" s="114"/>
      <c r="J36" s="125"/>
      <c r="L36" s="126"/>
      <c r="N36" s="126"/>
      <c r="O36" s="126"/>
      <c r="Q36" s="126"/>
      <c r="R36" s="126"/>
    </row>
    <row r="37" spans="2:18">
      <c r="B37" s="128"/>
      <c r="C37" s="458"/>
      <c r="D37" s="115"/>
      <c r="E37" s="181"/>
      <c r="F37" s="115"/>
      <c r="G37" s="115"/>
      <c r="H37" s="115"/>
      <c r="I37" s="114"/>
      <c r="J37" s="125"/>
      <c r="L37" s="126"/>
      <c r="N37" s="126"/>
      <c r="O37" s="126"/>
      <c r="Q37" s="126"/>
      <c r="R37" s="126"/>
    </row>
    <row r="38" spans="2:18">
      <c r="B38" s="128"/>
      <c r="C38" s="463"/>
      <c r="D38" s="186"/>
      <c r="E38" s="464"/>
      <c r="F38" s="457"/>
      <c r="G38" s="175"/>
      <c r="H38" s="176"/>
      <c r="I38" s="114"/>
      <c r="J38" s="125"/>
      <c r="L38" s="126"/>
      <c r="N38" s="126"/>
      <c r="O38" s="126"/>
      <c r="Q38" s="126"/>
      <c r="R38" s="126"/>
    </row>
    <row r="39" spans="2:18">
      <c r="B39" s="128"/>
      <c r="C39" s="458"/>
      <c r="D39" s="115"/>
      <c r="E39" s="181"/>
      <c r="F39" s="115"/>
      <c r="G39" s="115"/>
      <c r="H39" s="181"/>
      <c r="I39" s="114"/>
      <c r="J39" s="125"/>
      <c r="L39" s="126"/>
      <c r="N39" s="126"/>
      <c r="O39" s="126"/>
      <c r="Q39" s="126"/>
      <c r="R39" s="126"/>
    </row>
    <row r="40" spans="2:18">
      <c r="B40" s="128"/>
      <c r="C40" s="458"/>
      <c r="D40" s="115"/>
      <c r="E40" s="181"/>
      <c r="F40" s="115"/>
      <c r="G40" s="115"/>
      <c r="H40" s="181"/>
      <c r="I40" s="114"/>
      <c r="J40" s="125"/>
      <c r="L40" s="126"/>
      <c r="N40" s="126"/>
      <c r="O40" s="126"/>
      <c r="Q40" s="126"/>
      <c r="R40" s="126"/>
    </row>
    <row r="41" spans="2:18">
      <c r="B41" s="128"/>
      <c r="C41" s="458"/>
      <c r="D41" s="115"/>
      <c r="E41" s="181"/>
      <c r="F41" s="134" t="s">
        <v>325</v>
      </c>
      <c r="G41" s="115"/>
      <c r="H41" s="181"/>
      <c r="I41" s="114"/>
      <c r="J41" s="125"/>
      <c r="L41" s="126"/>
      <c r="N41" s="126"/>
      <c r="O41" s="126"/>
      <c r="Q41" s="126"/>
      <c r="R41" s="126"/>
    </row>
    <row r="42" spans="2:18">
      <c r="B42" s="128"/>
      <c r="C42" s="177"/>
      <c r="D42" s="461"/>
      <c r="E42" s="180" t="s">
        <v>168</v>
      </c>
      <c r="F42" s="111"/>
      <c r="G42" s="111"/>
      <c r="H42" s="181"/>
      <c r="I42" s="114"/>
      <c r="J42" s="113"/>
      <c r="L42" s="130"/>
      <c r="N42" s="130"/>
      <c r="O42" s="130"/>
      <c r="Q42" s="130"/>
      <c r="R42" s="130"/>
    </row>
    <row r="43" spans="2:18">
      <c r="B43" s="128"/>
      <c r="C43" s="179"/>
      <c r="D43" s="183" t="s">
        <v>326</v>
      </c>
      <c r="E43" s="181"/>
      <c r="F43" s="132"/>
      <c r="G43" s="132"/>
      <c r="H43" s="181"/>
      <c r="I43" s="114"/>
      <c r="J43" s="113"/>
      <c r="L43" s="130"/>
      <c r="N43" s="130"/>
      <c r="O43" s="130"/>
      <c r="Q43" s="130"/>
      <c r="R43" s="130"/>
    </row>
    <row r="44" spans="2:18">
      <c r="B44" s="128"/>
      <c r="C44" s="459"/>
      <c r="D44" s="183"/>
      <c r="E44" s="181"/>
      <c r="F44" s="132"/>
      <c r="G44" s="132"/>
      <c r="H44" s="181"/>
      <c r="I44" s="114"/>
      <c r="J44" s="113"/>
      <c r="L44" s="130"/>
      <c r="N44" s="130"/>
      <c r="O44" s="130"/>
      <c r="Q44" s="130"/>
      <c r="R44" s="130"/>
    </row>
    <row r="45" spans="2:18">
      <c r="B45" s="128"/>
      <c r="C45" s="179"/>
      <c r="D45" s="462"/>
      <c r="E45" s="181"/>
      <c r="F45" s="132"/>
      <c r="G45" s="132"/>
      <c r="H45" s="181"/>
      <c r="I45" s="114"/>
      <c r="J45" s="113"/>
      <c r="L45" s="130"/>
      <c r="N45" s="130"/>
      <c r="O45" s="130"/>
      <c r="Q45" s="130"/>
      <c r="R45" s="130"/>
    </row>
    <row r="46" spans="2:18">
      <c r="B46" s="110"/>
      <c r="C46" s="177"/>
      <c r="D46" s="111"/>
      <c r="E46" s="178"/>
      <c r="F46" s="111"/>
      <c r="G46" s="111"/>
      <c r="H46" s="178"/>
      <c r="I46" s="111"/>
      <c r="J46" s="113"/>
      <c r="L46" s="130"/>
      <c r="N46" s="130"/>
      <c r="O46" s="130"/>
      <c r="Q46" s="130"/>
      <c r="R46" s="130"/>
    </row>
    <row r="47" spans="2:18">
      <c r="B47" s="110"/>
      <c r="C47" s="456"/>
      <c r="D47" s="185"/>
      <c r="E47" s="460"/>
      <c r="F47" s="185"/>
      <c r="G47" s="185"/>
      <c r="H47" s="184"/>
      <c r="I47" s="118"/>
      <c r="J47" s="122"/>
      <c r="L47" s="126"/>
      <c r="N47" s="126"/>
      <c r="O47" s="126"/>
      <c r="Q47" s="126"/>
      <c r="R47" s="126"/>
    </row>
    <row r="48" spans="2:18">
      <c r="B48" s="110"/>
      <c r="C48" s="185"/>
      <c r="D48" s="185"/>
      <c r="E48" s="185"/>
      <c r="F48" s="185"/>
      <c r="G48" s="185"/>
      <c r="H48" s="185"/>
      <c r="I48" s="185"/>
      <c r="J48" s="453"/>
      <c r="L48" s="126"/>
      <c r="N48" s="126"/>
      <c r="O48" s="126"/>
      <c r="Q48" s="126"/>
      <c r="R48" s="126"/>
    </row>
    <row r="49" spans="2:18">
      <c r="B49" s="110"/>
      <c r="C49" s="111"/>
      <c r="D49" s="111"/>
      <c r="E49" s="111"/>
      <c r="F49" s="111"/>
      <c r="G49" s="118"/>
      <c r="H49" s="118"/>
      <c r="I49" s="118"/>
      <c r="J49" s="122"/>
      <c r="L49" s="130"/>
      <c r="N49" s="130"/>
      <c r="O49" s="130"/>
      <c r="Q49" s="130"/>
      <c r="R49" s="130"/>
    </row>
    <row r="50" spans="2:18">
      <c r="B50" s="123"/>
      <c r="C50" s="115"/>
      <c r="D50" s="115"/>
      <c r="E50" s="115" t="s">
        <v>323</v>
      </c>
      <c r="F50" s="115"/>
      <c r="G50" s="115"/>
      <c r="H50" s="132"/>
      <c r="I50" s="133"/>
      <c r="J50" s="117"/>
    </row>
    <row r="51" spans="2:18">
      <c r="B51" s="123"/>
      <c r="C51" s="115"/>
      <c r="D51" s="115"/>
      <c r="E51" s="115"/>
      <c r="F51" s="115"/>
      <c r="G51" s="115"/>
      <c r="H51" s="132" t="s">
        <v>324</v>
      </c>
      <c r="I51" s="133"/>
      <c r="J51" s="117"/>
    </row>
    <row r="52" spans="2:18">
      <c r="B52" s="123"/>
      <c r="C52" s="186"/>
      <c r="D52" s="186"/>
      <c r="E52" s="186"/>
      <c r="F52" s="186"/>
      <c r="G52" s="186"/>
      <c r="H52" s="187"/>
      <c r="I52" s="188"/>
      <c r="J52" s="454"/>
    </row>
    <row r="53" spans="2:18">
      <c r="B53" s="123"/>
      <c r="C53" s="118"/>
      <c r="D53" s="115"/>
      <c r="E53" s="115"/>
      <c r="F53" s="115"/>
      <c r="G53" s="115"/>
      <c r="H53" s="132"/>
      <c r="I53" s="133"/>
      <c r="J53" s="117"/>
    </row>
    <row r="54" spans="2:18">
      <c r="B54" s="128"/>
      <c r="C54" s="118"/>
      <c r="D54" s="115"/>
      <c r="E54" s="115"/>
      <c r="F54" s="115"/>
      <c r="G54" s="115"/>
      <c r="H54" s="132"/>
      <c r="I54" s="133"/>
      <c r="J54" s="117"/>
    </row>
    <row r="55" spans="2:18">
      <c r="B55" s="128"/>
      <c r="C55" s="118"/>
      <c r="D55" s="115"/>
      <c r="E55" s="115"/>
      <c r="F55" s="115"/>
      <c r="G55" s="115"/>
      <c r="H55" s="132"/>
      <c r="I55" s="133"/>
      <c r="J55" s="117"/>
    </row>
    <row r="56" spans="2:18">
      <c r="B56" s="128"/>
      <c r="C56" s="118"/>
      <c r="D56" s="115"/>
      <c r="E56" s="115"/>
      <c r="F56" s="115"/>
      <c r="G56" s="115"/>
      <c r="H56" s="132"/>
      <c r="I56" s="133"/>
      <c r="J56" s="117"/>
    </row>
    <row r="57" spans="2:18">
      <c r="B57" s="128"/>
      <c r="C57" s="118"/>
      <c r="D57" s="115"/>
      <c r="E57" s="115"/>
      <c r="F57" s="115"/>
      <c r="G57" s="115"/>
      <c r="H57" s="132"/>
      <c r="I57" s="133"/>
      <c r="J57" s="117"/>
    </row>
    <row r="58" spans="2:18">
      <c r="B58" s="128"/>
      <c r="C58" s="118"/>
      <c r="D58" s="115"/>
      <c r="E58" s="115"/>
      <c r="F58" s="115"/>
      <c r="G58" s="115"/>
      <c r="H58" s="132"/>
      <c r="I58" s="133"/>
      <c r="J58" s="117"/>
    </row>
    <row r="59" spans="2:18">
      <c r="B59" s="110"/>
      <c r="C59" s="118"/>
      <c r="D59" s="115"/>
      <c r="E59" s="115"/>
      <c r="F59" s="115"/>
      <c r="G59" s="115"/>
      <c r="H59" s="132"/>
      <c r="I59" s="133"/>
      <c r="J59" s="117"/>
    </row>
    <row r="60" spans="2:18">
      <c r="B60" s="110"/>
      <c r="C60" s="118"/>
      <c r="D60" s="115"/>
      <c r="E60" s="115"/>
      <c r="F60" s="115"/>
      <c r="G60" s="115"/>
      <c r="H60" s="132"/>
      <c r="I60" s="133"/>
      <c r="J60" s="117"/>
    </row>
    <row r="61" spans="2:18">
      <c r="B61" s="110"/>
      <c r="C61" s="118"/>
      <c r="D61" s="115"/>
      <c r="E61" s="115"/>
      <c r="F61" s="115"/>
      <c r="G61" s="115"/>
      <c r="H61" s="132"/>
      <c r="I61" s="133"/>
      <c r="J61" s="117"/>
    </row>
    <row r="62" spans="2:18">
      <c r="B62" s="110"/>
      <c r="C62" s="111"/>
      <c r="D62" s="111"/>
      <c r="E62" s="111"/>
      <c r="F62" s="111"/>
      <c r="G62" s="111"/>
      <c r="H62" s="111"/>
      <c r="I62" s="111"/>
      <c r="J62" s="113"/>
    </row>
    <row r="63" spans="2:18" ht="13.5" thickBot="1">
      <c r="B63" s="135"/>
      <c r="C63" s="136"/>
      <c r="D63" s="136"/>
      <c r="E63" s="136"/>
      <c r="F63" s="136"/>
      <c r="G63" s="136"/>
      <c r="H63" s="136"/>
      <c r="I63" s="136"/>
      <c r="J63" s="137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0"/>
  <sheetViews>
    <sheetView topLeftCell="A13" zoomScale="120" zoomScaleNormal="120" workbookViewId="0">
      <selection activeCell="I23" sqref="I23"/>
    </sheetView>
  </sheetViews>
  <sheetFormatPr baseColWidth="10" defaultRowHeight="12.75"/>
  <cols>
    <col min="1" max="1" width="5.140625" customWidth="1"/>
    <col min="2" max="2" width="6" customWidth="1"/>
    <col min="3" max="3" width="9.28515625" customWidth="1"/>
    <col min="4" max="4" width="7.7109375" customWidth="1"/>
    <col min="5" max="5" width="5.5703125" customWidth="1"/>
    <col min="6" max="6" width="15.7109375" customWidth="1"/>
    <col min="7" max="7" width="7.28515625" customWidth="1"/>
    <col min="8" max="8" width="6.85546875" customWidth="1"/>
    <col min="9" max="10" width="2.42578125" customWidth="1"/>
    <col min="11" max="11" width="2.28515625" customWidth="1"/>
    <col min="12" max="13" width="2.42578125" customWidth="1"/>
    <col min="14" max="14" width="2.28515625" customWidth="1"/>
    <col min="15" max="15" width="2.42578125" customWidth="1"/>
    <col min="16" max="17" width="2.140625" customWidth="1"/>
    <col min="18" max="18" width="8" customWidth="1"/>
    <col min="19" max="19" width="8.140625" customWidth="1"/>
    <col min="20" max="20" width="7.5703125" customWidth="1"/>
    <col min="21" max="21" width="6.85546875" customWidth="1"/>
    <col min="22" max="22" width="7.140625" customWidth="1"/>
    <col min="23" max="23" width="2.5703125" customWidth="1"/>
    <col min="24" max="24" width="2.42578125" customWidth="1"/>
    <col min="25" max="25" width="2.5703125" customWidth="1"/>
    <col min="26" max="29" width="2.42578125" customWidth="1"/>
    <col min="30" max="30" width="2.7109375" customWidth="1"/>
    <col min="31" max="31" width="2.5703125" customWidth="1"/>
    <col min="32" max="32" width="2.42578125" customWidth="1"/>
  </cols>
  <sheetData>
    <row r="2" spans="2:33" ht="13.5" thickBot="1"/>
    <row r="3" spans="2:33"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1"/>
    </row>
    <row r="4" spans="2:33" ht="20.25">
      <c r="B4" s="192"/>
      <c r="C4" s="470"/>
      <c r="D4" s="470"/>
      <c r="E4" s="470"/>
      <c r="F4" s="470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471" t="s">
        <v>169</v>
      </c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194"/>
    </row>
    <row r="5" spans="2:33">
      <c r="B5" s="192"/>
      <c r="C5" s="195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472" t="s">
        <v>170</v>
      </c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194"/>
    </row>
    <row r="6" spans="2:33">
      <c r="B6" s="192"/>
      <c r="C6" s="195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473" t="s">
        <v>171</v>
      </c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194"/>
    </row>
    <row r="7" spans="2:33">
      <c r="B7" s="192"/>
      <c r="C7" s="195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4"/>
    </row>
    <row r="8" spans="2:33" ht="13.5" thickBot="1">
      <c r="B8" s="192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4"/>
    </row>
    <row r="9" spans="2:33">
      <c r="B9" s="192"/>
      <c r="C9" s="474" t="s">
        <v>172</v>
      </c>
      <c r="D9" s="474" t="s">
        <v>173</v>
      </c>
      <c r="E9" s="477" t="s">
        <v>174</v>
      </c>
      <c r="F9" s="197"/>
      <c r="G9" s="474" t="s">
        <v>175</v>
      </c>
      <c r="H9" s="198"/>
      <c r="I9" s="480" t="s">
        <v>176</v>
      </c>
      <c r="J9" s="481"/>
      <c r="K9" s="481"/>
      <c r="L9" s="481"/>
      <c r="M9" s="199"/>
      <c r="N9" s="481" t="s">
        <v>177</v>
      </c>
      <c r="O9" s="481"/>
      <c r="P9" s="481"/>
      <c r="Q9" s="486"/>
      <c r="R9" s="474" t="s">
        <v>178</v>
      </c>
      <c r="S9" s="200" t="s">
        <v>179</v>
      </c>
      <c r="T9" s="198" t="s">
        <v>180</v>
      </c>
      <c r="U9" s="200" t="s">
        <v>181</v>
      </c>
      <c r="V9" s="198" t="s">
        <v>181</v>
      </c>
      <c r="W9" s="480" t="s">
        <v>182</v>
      </c>
      <c r="X9" s="481"/>
      <c r="Y9" s="481"/>
      <c r="Z9" s="481"/>
      <c r="AA9" s="481"/>
      <c r="AB9" s="481"/>
      <c r="AC9" s="481"/>
      <c r="AD9" s="481"/>
      <c r="AE9" s="481"/>
      <c r="AF9" s="486"/>
      <c r="AG9" s="194"/>
    </row>
    <row r="10" spans="2:33">
      <c r="B10" s="192"/>
      <c r="C10" s="475"/>
      <c r="D10" s="475"/>
      <c r="E10" s="478"/>
      <c r="F10" s="201" t="s">
        <v>183</v>
      </c>
      <c r="G10" s="475"/>
      <c r="H10" s="201" t="s">
        <v>184</v>
      </c>
      <c r="I10" s="482"/>
      <c r="J10" s="483"/>
      <c r="K10" s="483"/>
      <c r="L10" s="483"/>
      <c r="M10" s="202"/>
      <c r="N10" s="483"/>
      <c r="O10" s="483"/>
      <c r="P10" s="483"/>
      <c r="Q10" s="487"/>
      <c r="R10" s="475"/>
      <c r="S10" s="203" t="s">
        <v>185</v>
      </c>
      <c r="T10" s="201" t="s">
        <v>186</v>
      </c>
      <c r="U10" s="203" t="s">
        <v>187</v>
      </c>
      <c r="V10" s="201" t="s">
        <v>187</v>
      </c>
      <c r="W10" s="489" t="s">
        <v>188</v>
      </c>
      <c r="X10" s="490"/>
      <c r="Y10" s="490"/>
      <c r="Z10" s="490"/>
      <c r="AA10" s="490"/>
      <c r="AB10" s="490"/>
      <c r="AC10" s="490"/>
      <c r="AD10" s="490"/>
      <c r="AE10" s="490"/>
      <c r="AF10" s="491"/>
      <c r="AG10" s="204"/>
    </row>
    <row r="11" spans="2:33" ht="13.5" thickBot="1">
      <c r="B11" s="192"/>
      <c r="C11" s="476"/>
      <c r="D11" s="476"/>
      <c r="E11" s="479"/>
      <c r="F11" s="205"/>
      <c r="G11" s="476"/>
      <c r="H11" s="206"/>
      <c r="I11" s="484"/>
      <c r="J11" s="485"/>
      <c r="K11" s="485"/>
      <c r="L11" s="485"/>
      <c r="M11" s="207"/>
      <c r="N11" s="485"/>
      <c r="O11" s="485"/>
      <c r="P11" s="485"/>
      <c r="Q11" s="488"/>
      <c r="R11" s="476"/>
      <c r="S11" s="208" t="s">
        <v>71</v>
      </c>
      <c r="T11" s="206" t="s">
        <v>71</v>
      </c>
      <c r="U11" s="208" t="s">
        <v>189</v>
      </c>
      <c r="V11" s="206" t="s">
        <v>190</v>
      </c>
      <c r="W11" s="209"/>
      <c r="X11" s="210"/>
      <c r="Y11" s="210"/>
      <c r="Z11" s="210"/>
      <c r="AA11" s="210"/>
      <c r="AB11" s="210"/>
      <c r="AC11" s="211"/>
      <c r="AD11" s="211"/>
      <c r="AE11" s="210"/>
      <c r="AF11" s="212"/>
      <c r="AG11" s="194"/>
    </row>
    <row r="12" spans="2:33" ht="13.5" thickBot="1">
      <c r="B12" s="192"/>
      <c r="C12" s="213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5"/>
      <c r="AG12" s="194"/>
    </row>
    <row r="13" spans="2:33">
      <c r="B13" s="192"/>
      <c r="C13" s="216">
        <v>1</v>
      </c>
      <c r="D13" s="217"/>
      <c r="E13" s="218"/>
      <c r="F13" s="218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492"/>
      <c r="X13" s="492"/>
      <c r="Y13" s="492"/>
      <c r="Z13" s="492"/>
      <c r="AA13" s="492"/>
      <c r="AB13" s="492"/>
      <c r="AC13" s="218"/>
      <c r="AD13" s="492"/>
      <c r="AE13" s="492"/>
      <c r="AF13" s="494"/>
      <c r="AG13" s="194"/>
    </row>
    <row r="14" spans="2:33">
      <c r="B14" s="192"/>
      <c r="C14" s="220">
        <v>0</v>
      </c>
      <c r="D14" s="221"/>
      <c r="E14" s="222"/>
      <c r="F14" s="223" t="s">
        <v>191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493"/>
      <c r="X14" s="493"/>
      <c r="Y14" s="493"/>
      <c r="Z14" s="493"/>
      <c r="AA14" s="493"/>
      <c r="AB14" s="493"/>
      <c r="AC14" s="222"/>
      <c r="AD14" s="493"/>
      <c r="AE14" s="493"/>
      <c r="AF14" s="495"/>
      <c r="AG14" s="194"/>
    </row>
    <row r="15" spans="2:33">
      <c r="B15" s="192"/>
      <c r="C15" s="220"/>
      <c r="D15" s="225"/>
      <c r="E15" s="452"/>
      <c r="F15" s="500" t="s">
        <v>321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1"/>
      <c r="W15" s="496"/>
      <c r="X15" s="496"/>
      <c r="Y15" s="496"/>
      <c r="Z15" s="496"/>
      <c r="AA15" s="496"/>
      <c r="AB15" s="496"/>
      <c r="AC15" s="500"/>
      <c r="AD15" s="496"/>
      <c r="AE15" s="496"/>
      <c r="AF15" s="497"/>
      <c r="AG15" s="194"/>
    </row>
    <row r="16" spans="2:33">
      <c r="B16" s="192"/>
      <c r="C16" s="220">
        <v>1</v>
      </c>
      <c r="D16" s="225"/>
      <c r="E16" s="452"/>
      <c r="F16" s="493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1"/>
      <c r="W16" s="496"/>
      <c r="X16" s="496"/>
      <c r="Y16" s="496"/>
      <c r="Z16" s="496"/>
      <c r="AA16" s="496"/>
      <c r="AB16" s="496"/>
      <c r="AC16" s="498"/>
      <c r="AD16" s="496"/>
      <c r="AE16" s="496"/>
      <c r="AF16" s="497"/>
      <c r="AG16" s="194"/>
    </row>
    <row r="17" spans="2:33">
      <c r="B17" s="192"/>
      <c r="C17" s="220"/>
      <c r="D17" s="225">
        <v>1.5</v>
      </c>
      <c r="E17" s="452"/>
      <c r="F17" s="493"/>
      <c r="G17" s="224" t="s">
        <v>322</v>
      </c>
      <c r="H17" s="224" t="str">
        <f>'c1'!D39</f>
        <v>SM</v>
      </c>
      <c r="I17" s="227">
        <v>33</v>
      </c>
      <c r="J17" s="224"/>
      <c r="K17" s="224"/>
      <c r="L17" s="224"/>
      <c r="M17" s="224"/>
      <c r="N17" s="224"/>
      <c r="O17" s="224"/>
      <c r="P17" s="224"/>
      <c r="Q17" s="224"/>
      <c r="R17" s="228">
        <f>'c1'!G37</f>
        <v>16.876750700280102</v>
      </c>
      <c r="S17" s="228">
        <f>'c1'!G38</f>
        <v>30.856770461084544</v>
      </c>
      <c r="T17" s="228">
        <f>'c1'!G39</f>
        <v>4.5440604985895625</v>
      </c>
      <c r="U17" s="229">
        <f>'c1'!F18</f>
        <v>100</v>
      </c>
      <c r="V17" s="228">
        <f>'c1'!F23</f>
        <v>27.694198179271709</v>
      </c>
      <c r="W17" s="493"/>
      <c r="X17" s="493"/>
      <c r="Y17" s="493"/>
      <c r="Z17" s="493"/>
      <c r="AA17" s="493"/>
      <c r="AB17" s="493"/>
      <c r="AC17" s="222"/>
      <c r="AD17" s="493"/>
      <c r="AE17" s="493"/>
      <c r="AF17" s="495"/>
      <c r="AG17" s="194"/>
    </row>
    <row r="18" spans="2:33">
      <c r="B18" s="192"/>
      <c r="C18" s="220">
        <v>2</v>
      </c>
      <c r="D18" s="225"/>
      <c r="E18" s="452"/>
      <c r="F18" s="493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9"/>
      <c r="V18" s="224"/>
      <c r="W18" s="498"/>
      <c r="X18" s="498"/>
      <c r="Y18" s="498"/>
      <c r="Z18" s="498"/>
      <c r="AA18" s="498"/>
      <c r="AB18" s="498"/>
      <c r="AC18" s="230"/>
      <c r="AD18" s="498"/>
      <c r="AE18" s="498"/>
      <c r="AF18" s="499"/>
      <c r="AG18" s="194"/>
    </row>
    <row r="19" spans="2:33">
      <c r="B19" s="192"/>
      <c r="C19" s="220"/>
      <c r="D19" s="225"/>
      <c r="E19" s="452"/>
      <c r="F19" s="493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9"/>
      <c r="V19" s="224"/>
      <c r="W19" s="500"/>
      <c r="X19" s="500"/>
      <c r="Y19" s="500"/>
      <c r="Z19" s="500"/>
      <c r="AA19" s="500"/>
      <c r="AB19" s="500"/>
      <c r="AC19" s="231"/>
      <c r="AD19" s="500"/>
      <c r="AE19" s="500"/>
      <c r="AF19" s="501"/>
      <c r="AG19" s="194"/>
    </row>
    <row r="20" spans="2:33">
      <c r="B20" s="192"/>
      <c r="C20" s="220">
        <v>3</v>
      </c>
      <c r="D20" s="225">
        <v>3</v>
      </c>
      <c r="E20" s="452"/>
      <c r="F20" s="493"/>
      <c r="G20" s="226" t="s">
        <v>322</v>
      </c>
      <c r="H20" s="224" t="str">
        <f>'c2'!D39</f>
        <v>SM</v>
      </c>
      <c r="I20" s="227">
        <v>70</v>
      </c>
      <c r="J20" s="224"/>
      <c r="K20" s="224"/>
      <c r="L20" s="224"/>
      <c r="M20" s="224"/>
      <c r="N20" s="224"/>
      <c r="O20" s="224"/>
      <c r="P20" s="224"/>
      <c r="Q20" s="224"/>
      <c r="R20" s="228">
        <f>'c2'!G37</f>
        <v>10.635571501793947</v>
      </c>
      <c r="S20" s="228">
        <f>'c2'!G38</f>
        <v>0</v>
      </c>
      <c r="T20" s="228">
        <f>'c2'!G39</f>
        <v>0</v>
      </c>
      <c r="U20" s="229">
        <f>'c2'!F18</f>
        <v>100</v>
      </c>
      <c r="V20" s="228">
        <f>'c2'!F23</f>
        <v>22.881474884674532</v>
      </c>
      <c r="W20" s="498"/>
      <c r="X20" s="498"/>
      <c r="Y20" s="498"/>
      <c r="Z20" s="498"/>
      <c r="AA20" s="498"/>
      <c r="AB20" s="498"/>
      <c r="AC20" s="230"/>
      <c r="AD20" s="498"/>
      <c r="AE20" s="498"/>
      <c r="AF20" s="499"/>
      <c r="AG20" s="194"/>
    </row>
    <row r="21" spans="2:33">
      <c r="B21" s="192"/>
      <c r="C21" s="220"/>
      <c r="D21" s="225"/>
      <c r="E21" s="452"/>
      <c r="F21" s="493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9"/>
      <c r="V21" s="224"/>
      <c r="W21" s="500"/>
      <c r="X21" s="500"/>
      <c r="Y21" s="500"/>
      <c r="Z21" s="500"/>
      <c r="AA21" s="500"/>
      <c r="AB21" s="500"/>
      <c r="AC21" s="231"/>
      <c r="AD21" s="500"/>
      <c r="AE21" s="500"/>
      <c r="AF21" s="501"/>
      <c r="AG21" s="194"/>
    </row>
    <row r="22" spans="2:33">
      <c r="B22" s="192"/>
      <c r="C22" s="220">
        <v>4</v>
      </c>
      <c r="D22" s="225"/>
      <c r="E22" s="452"/>
      <c r="F22" s="493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9"/>
      <c r="V22" s="224"/>
      <c r="W22" s="498"/>
      <c r="X22" s="498"/>
      <c r="Y22" s="498"/>
      <c r="Z22" s="498"/>
      <c r="AA22" s="498"/>
      <c r="AB22" s="498"/>
      <c r="AC22" s="230"/>
      <c r="AD22" s="498"/>
      <c r="AE22" s="498"/>
      <c r="AF22" s="499"/>
      <c r="AG22" s="194"/>
    </row>
    <row r="23" spans="2:33">
      <c r="B23" s="192"/>
      <c r="C23" s="220"/>
      <c r="D23" s="225">
        <v>4.5</v>
      </c>
      <c r="E23" s="452"/>
      <c r="F23" s="493"/>
      <c r="G23" s="226" t="s">
        <v>322</v>
      </c>
      <c r="H23" s="224" t="str">
        <f>'c3'!D39</f>
        <v>SM</v>
      </c>
      <c r="I23" s="227">
        <v>75</v>
      </c>
      <c r="J23" s="224"/>
      <c r="K23" s="224"/>
      <c r="L23" s="224"/>
      <c r="M23" s="224"/>
      <c r="N23" s="224"/>
      <c r="O23" s="224"/>
      <c r="P23" s="224"/>
      <c r="Q23" s="224"/>
      <c r="R23" s="228">
        <f>'c3'!G37</f>
        <v>6.1867704280155635</v>
      </c>
      <c r="S23" s="228">
        <f>'c3'!G38</f>
        <v>0</v>
      </c>
      <c r="T23" s="228">
        <f>'c3'!G39</f>
        <v>0</v>
      </c>
      <c r="U23" s="229">
        <f>'c3'!F18</f>
        <v>100</v>
      </c>
      <c r="V23" s="228">
        <f>'c3'!F23</f>
        <v>15.629301556420231</v>
      </c>
      <c r="W23" s="500"/>
      <c r="X23" s="500"/>
      <c r="Y23" s="500"/>
      <c r="Z23" s="500"/>
      <c r="AA23" s="500"/>
      <c r="AB23" s="500"/>
      <c r="AC23" s="231"/>
      <c r="AD23" s="500"/>
      <c r="AE23" s="500"/>
      <c r="AF23" s="501"/>
      <c r="AG23" s="194"/>
    </row>
    <row r="24" spans="2:33">
      <c r="B24" s="192"/>
      <c r="C24" s="220">
        <v>5</v>
      </c>
      <c r="D24" s="221"/>
      <c r="E24" s="452"/>
      <c r="F24" s="493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9"/>
      <c r="V24" s="224"/>
      <c r="W24" s="498"/>
      <c r="X24" s="498"/>
      <c r="Y24" s="498"/>
      <c r="Z24" s="498"/>
      <c r="AA24" s="498"/>
      <c r="AB24" s="498"/>
      <c r="AC24" s="230"/>
      <c r="AD24" s="498"/>
      <c r="AE24" s="498"/>
      <c r="AF24" s="499"/>
      <c r="AG24" s="194"/>
    </row>
    <row r="25" spans="2:33">
      <c r="B25" s="192"/>
      <c r="C25" s="232"/>
      <c r="D25" s="221"/>
      <c r="E25" s="452"/>
      <c r="F25" s="493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9"/>
      <c r="V25" s="224"/>
      <c r="W25" s="500"/>
      <c r="X25" s="500"/>
      <c r="Y25" s="500"/>
      <c r="Z25" s="500"/>
      <c r="AA25" s="500"/>
      <c r="AB25" s="500"/>
      <c r="AC25" s="231"/>
      <c r="AD25" s="500"/>
      <c r="AE25" s="500"/>
      <c r="AF25" s="501"/>
      <c r="AG25" s="194"/>
    </row>
    <row r="26" spans="2:33">
      <c r="B26" s="192"/>
      <c r="C26" s="220">
        <v>6</v>
      </c>
      <c r="D26" s="225">
        <v>6</v>
      </c>
      <c r="E26" s="452"/>
      <c r="F26" s="498"/>
      <c r="G26" s="226" t="s">
        <v>322</v>
      </c>
      <c r="H26" s="224" t="str">
        <f>'c4'!D39</f>
        <v>SM</v>
      </c>
      <c r="I26" s="227">
        <v>80</v>
      </c>
      <c r="J26" s="224"/>
      <c r="K26" s="224"/>
      <c r="L26" s="224"/>
      <c r="M26" s="224"/>
      <c r="N26" s="224"/>
      <c r="O26" s="224"/>
      <c r="P26" s="224"/>
      <c r="Q26" s="224"/>
      <c r="R26" s="228">
        <f>'c4'!G37</f>
        <v>9.1413357000221982</v>
      </c>
      <c r="S26" s="228">
        <f>'c4'!G38</f>
        <v>0</v>
      </c>
      <c r="T26" s="228">
        <f>'c4'!G39</f>
        <v>0</v>
      </c>
      <c r="U26" s="229">
        <f>'c4'!F18</f>
        <v>100</v>
      </c>
      <c r="V26" s="228">
        <f>'c4'!F23</f>
        <v>17.931172620368315</v>
      </c>
      <c r="W26" s="498"/>
      <c r="X26" s="498"/>
      <c r="Y26" s="498"/>
      <c r="Z26" s="498"/>
      <c r="AA26" s="498"/>
      <c r="AB26" s="498"/>
      <c r="AC26" s="230"/>
      <c r="AD26" s="498"/>
      <c r="AE26" s="498"/>
      <c r="AF26" s="499"/>
      <c r="AG26" s="194"/>
    </row>
    <row r="27" spans="2:33">
      <c r="B27" s="192"/>
      <c r="C27" s="232"/>
      <c r="D27" s="221"/>
      <c r="E27" s="233"/>
      <c r="F27" s="231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500"/>
      <c r="X27" s="500"/>
      <c r="Y27" s="500"/>
      <c r="Z27" s="500"/>
      <c r="AA27" s="500"/>
      <c r="AB27" s="500"/>
      <c r="AC27" s="231"/>
      <c r="AD27" s="500"/>
      <c r="AE27" s="500"/>
      <c r="AF27" s="501"/>
      <c r="AG27" s="194"/>
    </row>
    <row r="28" spans="2:33">
      <c r="B28" s="192"/>
      <c r="C28" s="220"/>
      <c r="D28" s="221"/>
      <c r="E28" s="233"/>
      <c r="F28" s="230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498"/>
      <c r="X28" s="498"/>
      <c r="Y28" s="498"/>
      <c r="Z28" s="498"/>
      <c r="AA28" s="498"/>
      <c r="AB28" s="498"/>
      <c r="AC28" s="230"/>
      <c r="AD28" s="498"/>
      <c r="AE28" s="498"/>
      <c r="AF28" s="499"/>
      <c r="AG28" s="194"/>
    </row>
    <row r="29" spans="2:33">
      <c r="B29" s="192"/>
      <c r="C29" s="220"/>
      <c r="D29" s="225"/>
      <c r="E29" s="233"/>
      <c r="F29" s="231"/>
      <c r="G29" s="224"/>
      <c r="H29" s="224"/>
      <c r="I29" s="227"/>
      <c r="J29" s="224"/>
      <c r="K29" s="224"/>
      <c r="L29" s="224"/>
      <c r="M29" s="224"/>
      <c r="N29" s="224"/>
      <c r="O29" s="224"/>
      <c r="P29" s="224"/>
      <c r="Q29" s="224"/>
      <c r="R29" s="228"/>
      <c r="S29" s="228"/>
      <c r="T29" s="228"/>
      <c r="U29" s="228"/>
      <c r="V29" s="228"/>
      <c r="W29" s="500"/>
      <c r="X29" s="500"/>
      <c r="Y29" s="500"/>
      <c r="Z29" s="500"/>
      <c r="AA29" s="500"/>
      <c r="AB29" s="500"/>
      <c r="AC29" s="231"/>
      <c r="AD29" s="500"/>
      <c r="AE29" s="500"/>
      <c r="AF29" s="501"/>
      <c r="AG29" s="194"/>
    </row>
    <row r="30" spans="2:33">
      <c r="B30" s="192"/>
      <c r="C30" s="220"/>
      <c r="D30" s="221"/>
      <c r="E30" s="233"/>
      <c r="F30" s="230"/>
      <c r="G30" s="224"/>
      <c r="H30" s="224"/>
      <c r="I30" s="224">
        <f>AVERAGE(I17:I29)</f>
        <v>64.5</v>
      </c>
      <c r="J30" s="224"/>
      <c r="K30" s="224"/>
      <c r="L30" s="224"/>
      <c r="M30" s="224"/>
      <c r="N30" s="224"/>
      <c r="O30" s="224"/>
      <c r="P30" s="224"/>
      <c r="Q30" s="224"/>
      <c r="R30" s="228">
        <f>AVERAGE(R17:R29)</f>
        <v>10.710107082527951</v>
      </c>
      <c r="S30" s="228">
        <f>AVERAGE(S17:S29)</f>
        <v>7.714192615271136</v>
      </c>
      <c r="T30" s="228">
        <f>AVERAGE(T17:T29)</f>
        <v>1.1360151246473906</v>
      </c>
      <c r="U30" s="229">
        <f>AVERAGE(U17:U29)</f>
        <v>100</v>
      </c>
      <c r="V30" s="228">
        <f>AVERAGE(V17:V29)</f>
        <v>21.034036810183697</v>
      </c>
      <c r="W30" s="498"/>
      <c r="X30" s="498"/>
      <c r="Y30" s="498"/>
      <c r="Z30" s="498"/>
      <c r="AA30" s="498"/>
      <c r="AB30" s="498"/>
      <c r="AC30" s="230"/>
      <c r="AD30" s="498"/>
      <c r="AE30" s="498"/>
      <c r="AF30" s="499"/>
      <c r="AG30" s="194"/>
    </row>
    <row r="31" spans="2:33">
      <c r="B31" s="192"/>
      <c r="C31" s="232"/>
      <c r="D31" s="221"/>
      <c r="E31" s="233"/>
      <c r="F31" s="231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500"/>
      <c r="X31" s="500"/>
      <c r="Y31" s="500"/>
      <c r="Z31" s="500"/>
      <c r="AA31" s="500"/>
      <c r="AB31" s="500"/>
      <c r="AC31" s="231"/>
      <c r="AD31" s="500"/>
      <c r="AE31" s="500"/>
      <c r="AF31" s="501"/>
      <c r="AG31" s="194"/>
    </row>
    <row r="32" spans="2:33" ht="13.5" thickBot="1">
      <c r="B32" s="192"/>
      <c r="C32" s="234"/>
      <c r="D32" s="235"/>
      <c r="E32" s="236"/>
      <c r="F32" s="236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513"/>
      <c r="X32" s="513"/>
      <c r="Y32" s="513"/>
      <c r="Z32" s="513"/>
      <c r="AA32" s="513"/>
      <c r="AB32" s="513"/>
      <c r="AC32" s="236"/>
      <c r="AD32" s="513"/>
      <c r="AE32" s="513"/>
      <c r="AF32" s="514"/>
      <c r="AG32" s="194"/>
    </row>
    <row r="33" spans="2:33" ht="13.5" thickBot="1">
      <c r="B33" s="192"/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4"/>
      <c r="AG33" s="194"/>
    </row>
    <row r="34" spans="2:33">
      <c r="B34" s="192"/>
      <c r="C34" s="502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4"/>
      <c r="S34" s="505" t="s">
        <v>192</v>
      </c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7"/>
      <c r="AG34" s="194"/>
    </row>
    <row r="35" spans="2:33">
      <c r="B35" s="192"/>
      <c r="C35" s="238" t="s">
        <v>193</v>
      </c>
      <c r="D35" s="193"/>
      <c r="E35" s="239" t="s">
        <v>194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240" t="s">
        <v>195</v>
      </c>
      <c r="T35" s="241"/>
      <c r="U35" s="242" t="s">
        <v>307</v>
      </c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3"/>
      <c r="AG35" s="194"/>
    </row>
    <row r="36" spans="2:33" ht="13.5" thickBot="1">
      <c r="B36" s="192"/>
      <c r="C36" s="192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  <c r="S36" s="244" t="s">
        <v>196</v>
      </c>
      <c r="T36" s="245"/>
      <c r="U36" s="246" t="s">
        <v>308</v>
      </c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7"/>
      <c r="AG36" s="194"/>
    </row>
    <row r="37" spans="2:33">
      <c r="B37" s="192"/>
      <c r="C37" s="19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4"/>
      <c r="S37" s="248" t="s">
        <v>197</v>
      </c>
      <c r="T37" s="249"/>
      <c r="U37" s="250" t="s">
        <v>198</v>
      </c>
      <c r="V37" s="251"/>
      <c r="W37" s="251"/>
      <c r="X37" s="251"/>
      <c r="Y37" s="251"/>
      <c r="Z37" s="252"/>
      <c r="AA37" s="508" t="s">
        <v>199</v>
      </c>
      <c r="AB37" s="509"/>
      <c r="AC37" s="509"/>
      <c r="AD37" s="509"/>
      <c r="AE37" s="509"/>
      <c r="AF37" s="510"/>
      <c r="AG37" s="194"/>
    </row>
    <row r="38" spans="2:33">
      <c r="B38" s="192"/>
      <c r="C38" s="238" t="s">
        <v>200</v>
      </c>
      <c r="D38" s="239"/>
      <c r="E38" s="239" t="s">
        <v>201</v>
      </c>
      <c r="F38" s="239"/>
      <c r="G38" s="239" t="s">
        <v>202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511">
        <v>42702</v>
      </c>
      <c r="T38" s="512"/>
      <c r="U38" s="253" t="s">
        <v>309</v>
      </c>
      <c r="V38" s="242"/>
      <c r="W38" s="242"/>
      <c r="X38" s="242"/>
      <c r="Y38" s="242"/>
      <c r="Z38" s="254"/>
      <c r="AA38" s="255"/>
      <c r="AB38" s="246"/>
      <c r="AC38" s="246">
        <v>1</v>
      </c>
      <c r="AD38" s="246"/>
      <c r="AE38" s="246"/>
      <c r="AF38" s="256"/>
      <c r="AG38" s="194"/>
    </row>
    <row r="39" spans="2:33" ht="13.5" thickBot="1">
      <c r="B39" s="192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260"/>
      <c r="T39" s="261"/>
      <c r="U39" s="262" t="s">
        <v>203</v>
      </c>
      <c r="V39" s="262"/>
      <c r="W39" s="262"/>
      <c r="X39" s="262"/>
      <c r="Y39" s="262"/>
      <c r="Z39" s="262"/>
      <c r="AA39" s="260"/>
      <c r="AB39" s="262"/>
      <c r="AC39" s="262"/>
      <c r="AD39" s="262"/>
      <c r="AE39" s="262"/>
      <c r="AF39" s="261"/>
      <c r="AG39" s="194"/>
    </row>
    <row r="40" spans="2:33" ht="13.5" thickBot="1"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9"/>
    </row>
  </sheetData>
  <mergeCells count="109">
    <mergeCell ref="AA37:AF37"/>
    <mergeCell ref="S38:T38"/>
    <mergeCell ref="AF29:AF30"/>
    <mergeCell ref="W31:W32"/>
    <mergeCell ref="X31:X32"/>
    <mergeCell ref="Y31:Y32"/>
    <mergeCell ref="Z31:Z32"/>
    <mergeCell ref="AA31:AA32"/>
    <mergeCell ref="AB31:AB32"/>
    <mergeCell ref="AD31:AD32"/>
    <mergeCell ref="AE31:AE32"/>
    <mergeCell ref="AF31:AF32"/>
    <mergeCell ref="W29:W30"/>
    <mergeCell ref="X29:X30"/>
    <mergeCell ref="Y29:Y30"/>
    <mergeCell ref="Z29:Z30"/>
    <mergeCell ref="AA29:AA30"/>
    <mergeCell ref="AB29:AB30"/>
    <mergeCell ref="AD29:AD30"/>
    <mergeCell ref="AE29:AE30"/>
    <mergeCell ref="C34:R34"/>
    <mergeCell ref="S34:AF34"/>
    <mergeCell ref="AE25:AE26"/>
    <mergeCell ref="AF25:AF26"/>
    <mergeCell ref="W27:W28"/>
    <mergeCell ref="X27:X28"/>
    <mergeCell ref="Y27:Y28"/>
    <mergeCell ref="Z27:Z28"/>
    <mergeCell ref="AA27:AA28"/>
    <mergeCell ref="AB27:AB28"/>
    <mergeCell ref="AD27:AD28"/>
    <mergeCell ref="AE27:AE28"/>
    <mergeCell ref="AF27:AF28"/>
    <mergeCell ref="F15:F26"/>
    <mergeCell ref="AA19:AA20"/>
    <mergeCell ref="AB19:AB20"/>
    <mergeCell ref="AD19:AD20"/>
    <mergeCell ref="W25:W26"/>
    <mergeCell ref="X25:X26"/>
    <mergeCell ref="Y25:Y26"/>
    <mergeCell ref="Z25:Z26"/>
    <mergeCell ref="AA25:AA26"/>
    <mergeCell ref="AB25:AB26"/>
    <mergeCell ref="AD25:AD26"/>
    <mergeCell ref="AE19:AE20"/>
    <mergeCell ref="W23:W24"/>
    <mergeCell ref="X23:X24"/>
    <mergeCell ref="Y23:Y24"/>
    <mergeCell ref="Z23:Z24"/>
    <mergeCell ref="AA23:AA24"/>
    <mergeCell ref="AF19:AF20"/>
    <mergeCell ref="W21:W22"/>
    <mergeCell ref="X21:X22"/>
    <mergeCell ref="Y21:Y22"/>
    <mergeCell ref="Z21:Z22"/>
    <mergeCell ref="AA21:AA22"/>
    <mergeCell ref="AB21:AB22"/>
    <mergeCell ref="AD21:AD22"/>
    <mergeCell ref="AE21:AE22"/>
    <mergeCell ref="AF21:AF22"/>
    <mergeCell ref="AB23:AB24"/>
    <mergeCell ref="AD23:AD24"/>
    <mergeCell ref="AE23:AE24"/>
    <mergeCell ref="AF23:AF24"/>
    <mergeCell ref="W19:W20"/>
    <mergeCell ref="X19:X20"/>
    <mergeCell ref="Y19:Y20"/>
    <mergeCell ref="Z19:Z20"/>
    <mergeCell ref="AE15:AE16"/>
    <mergeCell ref="AF15:AF16"/>
    <mergeCell ref="W17:W18"/>
    <mergeCell ref="X17:X18"/>
    <mergeCell ref="Y17:Y18"/>
    <mergeCell ref="Z17:Z18"/>
    <mergeCell ref="AA17:AA18"/>
    <mergeCell ref="AB17:AB18"/>
    <mergeCell ref="AD17:AD18"/>
    <mergeCell ref="AE17:AE18"/>
    <mergeCell ref="AF17:AF18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W13:W14"/>
    <mergeCell ref="X13:X14"/>
    <mergeCell ref="Y13:Y14"/>
    <mergeCell ref="Z13:Z14"/>
    <mergeCell ref="AA13:AA14"/>
    <mergeCell ref="AB13:AB14"/>
    <mergeCell ref="AD13:AD14"/>
    <mergeCell ref="AE13:AE14"/>
    <mergeCell ref="AF13:AF14"/>
    <mergeCell ref="C4:F4"/>
    <mergeCell ref="T4:AF4"/>
    <mergeCell ref="T5:AF5"/>
    <mergeCell ref="T6:AF6"/>
    <mergeCell ref="C9:C11"/>
    <mergeCell ref="D9:D11"/>
    <mergeCell ref="E9:E11"/>
    <mergeCell ref="G9:G11"/>
    <mergeCell ref="I9:L11"/>
    <mergeCell ref="N9:Q11"/>
    <mergeCell ref="R9:R11"/>
    <mergeCell ref="W9:AF9"/>
    <mergeCell ref="W10:AF10"/>
  </mergeCells>
  <pageMargins left="0.59055118110236227" right="0.39370078740157483" top="0.59055118110236227" bottom="0.39370078740157483" header="0" footer="0"/>
  <pageSetup paperSize="9" scale="86" fitToWidth="2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0"/>
  <sheetViews>
    <sheetView topLeftCell="A13" zoomScale="120" zoomScaleNormal="120" workbookViewId="0">
      <selection activeCell="F15" sqref="F15:F26"/>
    </sheetView>
  </sheetViews>
  <sheetFormatPr baseColWidth="10" defaultRowHeight="12.75"/>
  <cols>
    <col min="1" max="1" width="5.140625" customWidth="1"/>
    <col min="2" max="2" width="6" customWidth="1"/>
    <col min="3" max="3" width="9.28515625" customWidth="1"/>
    <col min="4" max="4" width="7.7109375" customWidth="1"/>
    <col min="5" max="5" width="5.5703125" customWidth="1"/>
    <col min="6" max="6" width="15.7109375" customWidth="1"/>
    <col min="7" max="7" width="7.28515625" customWidth="1"/>
    <col min="8" max="8" width="6.85546875" customWidth="1"/>
    <col min="9" max="10" width="2.42578125" customWidth="1"/>
    <col min="11" max="11" width="2.28515625" customWidth="1"/>
    <col min="12" max="13" width="2.42578125" customWidth="1"/>
    <col min="14" max="14" width="2.28515625" customWidth="1"/>
    <col min="15" max="15" width="2.42578125" customWidth="1"/>
    <col min="16" max="17" width="2.140625" customWidth="1"/>
    <col min="18" max="18" width="8" customWidth="1"/>
    <col min="19" max="19" width="8.140625" customWidth="1"/>
    <col min="20" max="20" width="7.5703125" customWidth="1"/>
    <col min="21" max="21" width="6.85546875" customWidth="1"/>
    <col min="22" max="22" width="7.140625" customWidth="1"/>
    <col min="23" max="23" width="2.5703125" customWidth="1"/>
    <col min="24" max="24" width="2.42578125" customWidth="1"/>
    <col min="25" max="25" width="2.5703125" customWidth="1"/>
    <col min="26" max="29" width="2.42578125" customWidth="1"/>
    <col min="30" max="30" width="2.7109375" customWidth="1"/>
    <col min="31" max="31" width="2.5703125" customWidth="1"/>
    <col min="32" max="32" width="2.42578125" customWidth="1"/>
  </cols>
  <sheetData>
    <row r="2" spans="2:33" ht="13.5" thickBot="1"/>
    <row r="3" spans="2:33"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1"/>
    </row>
    <row r="4" spans="2:33" ht="20.25">
      <c r="B4" s="192"/>
      <c r="C4" s="470"/>
      <c r="D4" s="470"/>
      <c r="E4" s="470"/>
      <c r="F4" s="470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471" t="s">
        <v>169</v>
      </c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194"/>
    </row>
    <row r="5" spans="2:33">
      <c r="B5" s="192"/>
      <c r="C5" s="195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472" t="s">
        <v>170</v>
      </c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194"/>
    </row>
    <row r="6" spans="2:33">
      <c r="B6" s="192"/>
      <c r="C6" s="195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473" t="s">
        <v>171</v>
      </c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194"/>
    </row>
    <row r="7" spans="2:33">
      <c r="B7" s="192"/>
      <c r="C7" s="195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4"/>
    </row>
    <row r="8" spans="2:33" ht="13.5" thickBot="1">
      <c r="B8" s="192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4"/>
    </row>
    <row r="9" spans="2:33">
      <c r="B9" s="192"/>
      <c r="C9" s="474" t="s">
        <v>172</v>
      </c>
      <c r="D9" s="474" t="s">
        <v>173</v>
      </c>
      <c r="E9" s="477" t="s">
        <v>174</v>
      </c>
      <c r="F9" s="197"/>
      <c r="G9" s="474" t="s">
        <v>175</v>
      </c>
      <c r="H9" s="198"/>
      <c r="I9" s="480" t="s">
        <v>176</v>
      </c>
      <c r="J9" s="481"/>
      <c r="K9" s="481"/>
      <c r="L9" s="481"/>
      <c r="M9" s="199"/>
      <c r="N9" s="481" t="s">
        <v>177</v>
      </c>
      <c r="O9" s="481"/>
      <c r="P9" s="481"/>
      <c r="Q9" s="486"/>
      <c r="R9" s="474" t="s">
        <v>178</v>
      </c>
      <c r="S9" s="200" t="s">
        <v>179</v>
      </c>
      <c r="T9" s="198" t="s">
        <v>180</v>
      </c>
      <c r="U9" s="200" t="s">
        <v>181</v>
      </c>
      <c r="V9" s="198" t="s">
        <v>181</v>
      </c>
      <c r="W9" s="480" t="s">
        <v>182</v>
      </c>
      <c r="X9" s="481"/>
      <c r="Y9" s="481"/>
      <c r="Z9" s="481"/>
      <c r="AA9" s="481"/>
      <c r="AB9" s="481"/>
      <c r="AC9" s="481"/>
      <c r="AD9" s="481"/>
      <c r="AE9" s="481"/>
      <c r="AF9" s="486"/>
      <c r="AG9" s="194"/>
    </row>
    <row r="10" spans="2:33">
      <c r="B10" s="192"/>
      <c r="C10" s="475"/>
      <c r="D10" s="475"/>
      <c r="E10" s="478"/>
      <c r="F10" s="201" t="s">
        <v>183</v>
      </c>
      <c r="G10" s="475"/>
      <c r="H10" s="201" t="s">
        <v>184</v>
      </c>
      <c r="I10" s="482"/>
      <c r="J10" s="483"/>
      <c r="K10" s="483"/>
      <c r="L10" s="483"/>
      <c r="M10" s="202"/>
      <c r="N10" s="483"/>
      <c r="O10" s="483"/>
      <c r="P10" s="483"/>
      <c r="Q10" s="487"/>
      <c r="R10" s="475"/>
      <c r="S10" s="203" t="s">
        <v>185</v>
      </c>
      <c r="T10" s="201" t="s">
        <v>186</v>
      </c>
      <c r="U10" s="203" t="s">
        <v>187</v>
      </c>
      <c r="V10" s="201" t="s">
        <v>187</v>
      </c>
      <c r="W10" s="489" t="s">
        <v>188</v>
      </c>
      <c r="X10" s="490"/>
      <c r="Y10" s="490"/>
      <c r="Z10" s="490"/>
      <c r="AA10" s="490"/>
      <c r="AB10" s="490"/>
      <c r="AC10" s="490"/>
      <c r="AD10" s="490"/>
      <c r="AE10" s="490"/>
      <c r="AF10" s="491"/>
      <c r="AG10" s="204"/>
    </row>
    <row r="11" spans="2:33" ht="13.5" thickBot="1">
      <c r="B11" s="192"/>
      <c r="C11" s="476"/>
      <c r="D11" s="476"/>
      <c r="E11" s="479"/>
      <c r="F11" s="205"/>
      <c r="G11" s="476"/>
      <c r="H11" s="206"/>
      <c r="I11" s="484"/>
      <c r="J11" s="485"/>
      <c r="K11" s="485"/>
      <c r="L11" s="485"/>
      <c r="M11" s="207"/>
      <c r="N11" s="485"/>
      <c r="O11" s="485"/>
      <c r="P11" s="485"/>
      <c r="Q11" s="488"/>
      <c r="R11" s="476"/>
      <c r="S11" s="208" t="s">
        <v>71</v>
      </c>
      <c r="T11" s="206" t="s">
        <v>71</v>
      </c>
      <c r="U11" s="208" t="s">
        <v>189</v>
      </c>
      <c r="V11" s="206" t="s">
        <v>190</v>
      </c>
      <c r="W11" s="209"/>
      <c r="X11" s="210"/>
      <c r="Y11" s="210"/>
      <c r="Z11" s="210"/>
      <c r="AA11" s="210"/>
      <c r="AB11" s="210"/>
      <c r="AC11" s="211"/>
      <c r="AD11" s="211"/>
      <c r="AE11" s="210"/>
      <c r="AF11" s="212"/>
      <c r="AG11" s="194"/>
    </row>
    <row r="12" spans="2:33" ht="13.5" thickBot="1">
      <c r="B12" s="192"/>
      <c r="C12" s="263"/>
      <c r="D12" s="264"/>
      <c r="E12" s="265"/>
      <c r="F12" s="266"/>
      <c r="G12" s="264"/>
      <c r="H12" s="264"/>
      <c r="I12" s="264"/>
      <c r="J12" s="264"/>
      <c r="K12" s="264"/>
      <c r="L12" s="264"/>
      <c r="M12" s="266"/>
      <c r="N12" s="264"/>
      <c r="O12" s="264"/>
      <c r="P12" s="264"/>
      <c r="Q12" s="264"/>
      <c r="R12" s="264"/>
      <c r="S12" s="264"/>
      <c r="T12" s="264"/>
      <c r="U12" s="264"/>
      <c r="V12" s="264"/>
      <c r="W12" s="267"/>
      <c r="X12" s="268"/>
      <c r="Y12" s="268"/>
      <c r="Z12" s="268"/>
      <c r="AA12" s="268"/>
      <c r="AB12" s="268"/>
      <c r="AC12" s="267"/>
      <c r="AD12" s="267"/>
      <c r="AE12" s="268"/>
      <c r="AF12" s="269"/>
      <c r="AG12" s="194"/>
    </row>
    <row r="13" spans="2:33">
      <c r="B13" s="192"/>
      <c r="C13" s="216">
        <v>2</v>
      </c>
      <c r="D13" s="217"/>
      <c r="E13" s="218"/>
      <c r="F13" s="218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492"/>
      <c r="X13" s="492"/>
      <c r="Y13" s="492"/>
      <c r="Z13" s="492"/>
      <c r="AA13" s="492"/>
      <c r="AB13" s="492"/>
      <c r="AC13" s="218"/>
      <c r="AD13" s="492"/>
      <c r="AE13" s="492"/>
      <c r="AF13" s="494"/>
      <c r="AG13" s="194"/>
    </row>
    <row r="14" spans="2:33">
      <c r="B14" s="192"/>
      <c r="C14" s="220">
        <v>0</v>
      </c>
      <c r="D14" s="221"/>
      <c r="E14" s="222"/>
      <c r="F14" s="223" t="s">
        <v>191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498"/>
      <c r="X14" s="498"/>
      <c r="Y14" s="498"/>
      <c r="Z14" s="498"/>
      <c r="AA14" s="498"/>
      <c r="AB14" s="498"/>
      <c r="AC14" s="230"/>
      <c r="AD14" s="498"/>
      <c r="AE14" s="498"/>
      <c r="AF14" s="499"/>
      <c r="AG14" s="194"/>
    </row>
    <row r="15" spans="2:33">
      <c r="B15" s="192"/>
      <c r="C15" s="220"/>
      <c r="D15" s="225"/>
      <c r="E15" s="452"/>
      <c r="F15" s="500" t="s">
        <v>321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500"/>
      <c r="X15" s="500"/>
      <c r="Y15" s="500"/>
      <c r="Z15" s="500"/>
      <c r="AA15" s="500"/>
      <c r="AB15" s="500"/>
      <c r="AC15" s="231"/>
      <c r="AD15" s="500"/>
      <c r="AE15" s="500"/>
      <c r="AF15" s="501"/>
      <c r="AG15" s="194"/>
    </row>
    <row r="16" spans="2:33">
      <c r="B16" s="192"/>
      <c r="C16" s="220">
        <v>1</v>
      </c>
      <c r="D16" s="225"/>
      <c r="E16" s="452"/>
      <c r="F16" s="493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498"/>
      <c r="X16" s="498"/>
      <c r="Y16" s="498"/>
      <c r="Z16" s="498"/>
      <c r="AA16" s="498"/>
      <c r="AB16" s="498"/>
      <c r="AC16" s="230"/>
      <c r="AD16" s="498"/>
      <c r="AE16" s="498"/>
      <c r="AF16" s="499"/>
      <c r="AG16" s="194"/>
    </row>
    <row r="17" spans="2:33">
      <c r="B17" s="192"/>
      <c r="C17" s="220"/>
      <c r="D17" s="225">
        <v>1.5</v>
      </c>
      <c r="E17" s="452"/>
      <c r="F17" s="493"/>
      <c r="G17" s="226" t="s">
        <v>322</v>
      </c>
      <c r="H17" s="224" t="str">
        <f>'b1'!D39</f>
        <v>SM</v>
      </c>
      <c r="I17" s="227">
        <v>65</v>
      </c>
      <c r="J17" s="224"/>
      <c r="K17" s="224"/>
      <c r="L17" s="224"/>
      <c r="M17" s="224"/>
      <c r="N17" s="224"/>
      <c r="O17" s="224"/>
      <c r="P17" s="224"/>
      <c r="Q17" s="224"/>
      <c r="R17" s="228">
        <f>'b1'!G37</f>
        <v>10.030145245272688</v>
      </c>
      <c r="S17" s="228">
        <f>'b1'!G38</f>
        <v>0</v>
      </c>
      <c r="T17" s="228">
        <f>'b1'!G39</f>
        <v>0</v>
      </c>
      <c r="U17" s="229">
        <f>'b1'!F18</f>
        <v>100</v>
      </c>
      <c r="V17" s="228">
        <f>'b1'!F23</f>
        <v>17.989031241435995</v>
      </c>
      <c r="W17" s="500"/>
      <c r="X17" s="500"/>
      <c r="Y17" s="500"/>
      <c r="Z17" s="500"/>
      <c r="AA17" s="500"/>
      <c r="AB17" s="500"/>
      <c r="AC17" s="231"/>
      <c r="AD17" s="500"/>
      <c r="AE17" s="500"/>
      <c r="AF17" s="501"/>
      <c r="AG17" s="194"/>
    </row>
    <row r="18" spans="2:33">
      <c r="B18" s="192"/>
      <c r="C18" s="220">
        <v>2</v>
      </c>
      <c r="D18" s="225"/>
      <c r="E18" s="452"/>
      <c r="F18" s="493"/>
      <c r="G18" s="226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9"/>
      <c r="V18" s="224"/>
      <c r="W18" s="498"/>
      <c r="X18" s="498"/>
      <c r="Y18" s="498"/>
      <c r="Z18" s="498"/>
      <c r="AA18" s="498"/>
      <c r="AB18" s="498"/>
      <c r="AC18" s="230"/>
      <c r="AD18" s="498"/>
      <c r="AE18" s="498"/>
      <c r="AF18" s="499"/>
      <c r="AG18" s="194"/>
    </row>
    <row r="19" spans="2:33">
      <c r="B19" s="192"/>
      <c r="C19" s="220"/>
      <c r="D19" s="225"/>
      <c r="E19" s="452"/>
      <c r="F19" s="493"/>
      <c r="G19" s="226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9"/>
      <c r="V19" s="224"/>
      <c r="W19" s="500"/>
      <c r="X19" s="500"/>
      <c r="Y19" s="500"/>
      <c r="Z19" s="500"/>
      <c r="AA19" s="500"/>
      <c r="AB19" s="500"/>
      <c r="AC19" s="231"/>
      <c r="AD19" s="500"/>
      <c r="AE19" s="500"/>
      <c r="AF19" s="501"/>
      <c r="AG19" s="194"/>
    </row>
    <row r="20" spans="2:33">
      <c r="B20" s="192"/>
      <c r="C20" s="220">
        <v>3</v>
      </c>
      <c r="D20" s="225">
        <v>3</v>
      </c>
      <c r="E20" s="452"/>
      <c r="F20" s="493"/>
      <c r="G20" s="226" t="s">
        <v>322</v>
      </c>
      <c r="H20" s="224" t="str">
        <f>'b2'!D39</f>
        <v>SM</v>
      </c>
      <c r="I20" s="227">
        <v>80</v>
      </c>
      <c r="J20" s="224"/>
      <c r="K20" s="224"/>
      <c r="L20" s="224"/>
      <c r="M20" s="224"/>
      <c r="N20" s="224"/>
      <c r="O20" s="224"/>
      <c r="P20" s="224"/>
      <c r="Q20" s="224"/>
      <c r="R20" s="228">
        <f>'b2'!G37</f>
        <v>7.6713572401271053</v>
      </c>
      <c r="S20" s="228">
        <f>'b2'!G38</f>
        <v>0</v>
      </c>
      <c r="T20" s="228">
        <f>'b2'!G39</f>
        <v>0</v>
      </c>
      <c r="U20" s="229">
        <f>'b2'!F18</f>
        <v>100</v>
      </c>
      <c r="V20" s="228">
        <f>'b2'!F23</f>
        <v>13.690640036314122</v>
      </c>
      <c r="W20" s="493"/>
      <c r="X20" s="493"/>
      <c r="Y20" s="493"/>
      <c r="Z20" s="493"/>
      <c r="AA20" s="493"/>
      <c r="AB20" s="493"/>
      <c r="AC20" s="222"/>
      <c r="AD20" s="493"/>
      <c r="AE20" s="493"/>
      <c r="AF20" s="495"/>
      <c r="AG20" s="194"/>
    </row>
    <row r="21" spans="2:33">
      <c r="B21" s="192"/>
      <c r="C21" s="220"/>
      <c r="D21" s="225"/>
      <c r="E21" s="452"/>
      <c r="F21" s="493"/>
      <c r="G21" s="226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9"/>
      <c r="V21" s="221"/>
      <c r="W21" s="496"/>
      <c r="X21" s="496"/>
      <c r="Y21" s="496"/>
      <c r="Z21" s="496"/>
      <c r="AA21" s="496"/>
      <c r="AB21" s="496"/>
      <c r="AC21" s="500"/>
      <c r="AD21" s="496"/>
      <c r="AE21" s="496"/>
      <c r="AF21" s="497"/>
      <c r="AG21" s="194"/>
    </row>
    <row r="22" spans="2:33">
      <c r="B22" s="192"/>
      <c r="C22" s="220">
        <v>4</v>
      </c>
      <c r="D22" s="225"/>
      <c r="E22" s="452"/>
      <c r="F22" s="493"/>
      <c r="G22" s="226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9"/>
      <c r="V22" s="221"/>
      <c r="W22" s="496"/>
      <c r="X22" s="496"/>
      <c r="Y22" s="496"/>
      <c r="Z22" s="496"/>
      <c r="AA22" s="496"/>
      <c r="AB22" s="496"/>
      <c r="AC22" s="498"/>
      <c r="AD22" s="496"/>
      <c r="AE22" s="496"/>
      <c r="AF22" s="497"/>
      <c r="AG22" s="194"/>
    </row>
    <row r="23" spans="2:33">
      <c r="B23" s="192"/>
      <c r="C23" s="220"/>
      <c r="D23" s="225">
        <v>4.5</v>
      </c>
      <c r="E23" s="452"/>
      <c r="F23" s="493"/>
      <c r="G23" s="226" t="s">
        <v>322</v>
      </c>
      <c r="H23" s="224" t="str">
        <f>'b3'!D39</f>
        <v>SM</v>
      </c>
      <c r="I23" s="227">
        <v>85</v>
      </c>
      <c r="J23" s="224"/>
      <c r="K23" s="224"/>
      <c r="L23" s="224"/>
      <c r="M23" s="224"/>
      <c r="N23" s="224"/>
      <c r="O23" s="224"/>
      <c r="P23" s="224"/>
      <c r="Q23" s="224"/>
      <c r="R23" s="228">
        <f>'b3'!G37</f>
        <v>7.9213046854776152</v>
      </c>
      <c r="S23" s="228">
        <f>'b3'!G38</f>
        <v>0</v>
      </c>
      <c r="T23" s="228">
        <f>'b3'!G39</f>
        <v>0</v>
      </c>
      <c r="U23" s="229">
        <f>'b3'!F18</f>
        <v>100</v>
      </c>
      <c r="V23" s="228">
        <f>'b3'!F23</f>
        <v>11.164578048149096</v>
      </c>
      <c r="W23" s="493"/>
      <c r="X23" s="493"/>
      <c r="Y23" s="493"/>
      <c r="Z23" s="493"/>
      <c r="AA23" s="493"/>
      <c r="AB23" s="493"/>
      <c r="AC23" s="222"/>
      <c r="AD23" s="493"/>
      <c r="AE23" s="493"/>
      <c r="AF23" s="495"/>
      <c r="AG23" s="194"/>
    </row>
    <row r="24" spans="2:33">
      <c r="B24" s="192"/>
      <c r="C24" s="220">
        <v>5</v>
      </c>
      <c r="D24" s="221"/>
      <c r="E24" s="452"/>
      <c r="F24" s="493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9"/>
      <c r="V24" s="224"/>
      <c r="W24" s="498"/>
      <c r="X24" s="498"/>
      <c r="Y24" s="498"/>
      <c r="Z24" s="498"/>
      <c r="AA24" s="498"/>
      <c r="AB24" s="498"/>
      <c r="AC24" s="230"/>
      <c r="AD24" s="498"/>
      <c r="AE24" s="498"/>
      <c r="AF24" s="499"/>
      <c r="AG24" s="194"/>
    </row>
    <row r="25" spans="2:33">
      <c r="B25" s="192"/>
      <c r="C25" s="232"/>
      <c r="D25" s="221"/>
      <c r="E25" s="233"/>
      <c r="F25" s="493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9"/>
      <c r="V25" s="224"/>
      <c r="W25" s="500"/>
      <c r="X25" s="500"/>
      <c r="Y25" s="500"/>
      <c r="Z25" s="500"/>
      <c r="AA25" s="500"/>
      <c r="AB25" s="500"/>
      <c r="AC25" s="231"/>
      <c r="AD25" s="500"/>
      <c r="AE25" s="500"/>
      <c r="AF25" s="501"/>
      <c r="AG25" s="194"/>
    </row>
    <row r="26" spans="2:33">
      <c r="B26" s="192"/>
      <c r="C26" s="220">
        <v>6</v>
      </c>
      <c r="D26" s="225">
        <v>6</v>
      </c>
      <c r="E26" s="233"/>
      <c r="F26" s="498"/>
      <c r="G26" s="224"/>
      <c r="H26" s="224"/>
      <c r="I26" s="227"/>
      <c r="J26" s="224"/>
      <c r="K26" s="224"/>
      <c r="L26" s="224"/>
      <c r="M26" s="224"/>
      <c r="N26" s="224"/>
      <c r="O26" s="224"/>
      <c r="P26" s="224"/>
      <c r="Q26" s="224"/>
      <c r="R26" s="228"/>
      <c r="S26" s="228"/>
      <c r="T26" s="228"/>
      <c r="U26" s="229"/>
      <c r="V26" s="228"/>
      <c r="W26" s="498"/>
      <c r="X26" s="498"/>
      <c r="Y26" s="498"/>
      <c r="Z26" s="498"/>
      <c r="AA26" s="498"/>
      <c r="AB26" s="498"/>
      <c r="AC26" s="230"/>
      <c r="AD26" s="498"/>
      <c r="AE26" s="498"/>
      <c r="AF26" s="499"/>
      <c r="AG26" s="194"/>
    </row>
    <row r="27" spans="2:33">
      <c r="B27" s="192"/>
      <c r="C27" s="232"/>
      <c r="D27" s="221"/>
      <c r="E27" s="233"/>
      <c r="F27" s="231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500"/>
      <c r="X27" s="500"/>
      <c r="Y27" s="500"/>
      <c r="Z27" s="500"/>
      <c r="AA27" s="500"/>
      <c r="AB27" s="500"/>
      <c r="AC27" s="231"/>
      <c r="AD27" s="500"/>
      <c r="AE27" s="500"/>
      <c r="AF27" s="501"/>
      <c r="AG27" s="194"/>
    </row>
    <row r="28" spans="2:33">
      <c r="B28" s="192"/>
      <c r="C28" s="270"/>
      <c r="D28" s="271"/>
      <c r="E28" s="233"/>
      <c r="F28" s="272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498"/>
      <c r="X28" s="498"/>
      <c r="Y28" s="498"/>
      <c r="Z28" s="498"/>
      <c r="AA28" s="498"/>
      <c r="AB28" s="498"/>
      <c r="AC28" s="230"/>
      <c r="AD28" s="498"/>
      <c r="AE28" s="498"/>
      <c r="AF28" s="499"/>
      <c r="AG28" s="194"/>
    </row>
    <row r="29" spans="2:33">
      <c r="B29" s="192"/>
      <c r="C29" s="270"/>
      <c r="D29" s="274"/>
      <c r="E29" s="233"/>
      <c r="F29" s="272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30"/>
      <c r="X29" s="230"/>
      <c r="Y29" s="230"/>
      <c r="Z29" s="230"/>
      <c r="AA29" s="230"/>
      <c r="AB29" s="230"/>
      <c r="AC29" s="230"/>
      <c r="AD29" s="230"/>
      <c r="AE29" s="230"/>
      <c r="AF29" s="275"/>
      <c r="AG29" s="194"/>
    </row>
    <row r="30" spans="2:33">
      <c r="B30" s="192"/>
      <c r="C30" s="270"/>
      <c r="D30" s="274"/>
      <c r="E30" s="233"/>
      <c r="F30" s="276"/>
      <c r="G30" s="273"/>
      <c r="H30" s="273"/>
      <c r="I30" s="273">
        <f>AVERAGE(I17:I29)</f>
        <v>76.666666666666671</v>
      </c>
      <c r="J30" s="273"/>
      <c r="K30" s="273"/>
      <c r="L30" s="273"/>
      <c r="M30" s="273"/>
      <c r="N30" s="273"/>
      <c r="O30" s="273"/>
      <c r="P30" s="273"/>
      <c r="Q30" s="273"/>
      <c r="R30" s="277">
        <f>AVERAGE(R17:R29)</f>
        <v>8.5409357236258021</v>
      </c>
      <c r="S30" s="277">
        <f>AVERAGE(S17:S29)</f>
        <v>0</v>
      </c>
      <c r="T30" s="277">
        <f>AVERAGE(T17:T29)</f>
        <v>0</v>
      </c>
      <c r="U30" s="278">
        <f>AVERAGE(U17:U29)</f>
        <v>100</v>
      </c>
      <c r="V30" s="277">
        <f>AVERAGE(V17:V29)</f>
        <v>14.281416441966405</v>
      </c>
      <c r="W30" s="500"/>
      <c r="X30" s="500"/>
      <c r="Y30" s="500"/>
      <c r="Z30" s="500"/>
      <c r="AA30" s="500"/>
      <c r="AB30" s="500"/>
      <c r="AC30" s="231"/>
      <c r="AD30" s="500"/>
      <c r="AE30" s="500"/>
      <c r="AF30" s="501"/>
      <c r="AG30" s="194"/>
    </row>
    <row r="31" spans="2:33">
      <c r="B31" s="192"/>
      <c r="C31" s="279"/>
      <c r="D31" s="280"/>
      <c r="E31" s="233"/>
      <c r="F31" s="233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493"/>
      <c r="X31" s="493"/>
      <c r="Y31" s="493"/>
      <c r="Z31" s="493"/>
      <c r="AA31" s="493"/>
      <c r="AB31" s="493"/>
      <c r="AC31" s="222"/>
      <c r="AD31" s="493"/>
      <c r="AE31" s="493"/>
      <c r="AF31" s="495"/>
      <c r="AG31" s="194"/>
    </row>
    <row r="32" spans="2:33" ht="13.5" thickBot="1">
      <c r="B32" s="192"/>
      <c r="C32" s="279"/>
      <c r="D32" s="281"/>
      <c r="E32" s="233"/>
      <c r="F32" s="233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493"/>
      <c r="X32" s="493"/>
      <c r="Y32" s="493"/>
      <c r="Z32" s="493"/>
      <c r="AA32" s="493"/>
      <c r="AB32" s="493"/>
      <c r="AC32" s="222"/>
      <c r="AD32" s="493"/>
      <c r="AE32" s="493"/>
      <c r="AF32" s="495"/>
      <c r="AG32" s="194"/>
    </row>
    <row r="33" spans="2:33" ht="13.5" thickBot="1">
      <c r="B33" s="192"/>
      <c r="C33" s="282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4"/>
      <c r="AG33" s="194"/>
    </row>
    <row r="34" spans="2:33">
      <c r="B34" s="192"/>
      <c r="C34" s="502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4"/>
      <c r="S34" s="505" t="s">
        <v>192</v>
      </c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7"/>
      <c r="AG34" s="194"/>
    </row>
    <row r="35" spans="2:33">
      <c r="B35" s="192"/>
      <c r="C35" s="238" t="s">
        <v>193</v>
      </c>
      <c r="D35" s="193"/>
      <c r="E35" s="239" t="s">
        <v>194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240" t="s">
        <v>195</v>
      </c>
      <c r="T35" s="241"/>
      <c r="U35" s="242" t="s">
        <v>307</v>
      </c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3"/>
      <c r="AG35" s="194"/>
    </row>
    <row r="36" spans="2:33" ht="13.5" thickBot="1">
      <c r="B36" s="192"/>
      <c r="C36" s="192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  <c r="S36" s="244" t="s">
        <v>196</v>
      </c>
      <c r="T36" s="245"/>
      <c r="U36" s="246" t="s">
        <v>308</v>
      </c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7"/>
      <c r="AG36" s="194"/>
    </row>
    <row r="37" spans="2:33">
      <c r="B37" s="192"/>
      <c r="C37" s="19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4"/>
      <c r="S37" s="248" t="s">
        <v>197</v>
      </c>
      <c r="T37" s="249"/>
      <c r="U37" s="250" t="s">
        <v>198</v>
      </c>
      <c r="V37" s="251"/>
      <c r="W37" s="251"/>
      <c r="X37" s="251"/>
      <c r="Y37" s="251"/>
      <c r="Z37" s="252"/>
      <c r="AA37" s="508" t="s">
        <v>199</v>
      </c>
      <c r="AB37" s="509"/>
      <c r="AC37" s="509"/>
      <c r="AD37" s="509"/>
      <c r="AE37" s="509"/>
      <c r="AF37" s="510"/>
      <c r="AG37" s="194"/>
    </row>
    <row r="38" spans="2:33">
      <c r="B38" s="192"/>
      <c r="C38" s="238" t="s">
        <v>200</v>
      </c>
      <c r="D38" s="239"/>
      <c r="E38" s="239" t="s">
        <v>201</v>
      </c>
      <c r="F38" s="239"/>
      <c r="G38" s="239" t="s">
        <v>202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511">
        <v>42702</v>
      </c>
      <c r="T38" s="512"/>
      <c r="U38" s="253" t="s">
        <v>309</v>
      </c>
      <c r="V38" s="242"/>
      <c r="W38" s="242"/>
      <c r="X38" s="242"/>
      <c r="Y38" s="242"/>
      <c r="Z38" s="254"/>
      <c r="AA38" s="255"/>
      <c r="AB38" s="246"/>
      <c r="AC38" s="246">
        <v>1</v>
      </c>
      <c r="AD38" s="246"/>
      <c r="AE38" s="246"/>
      <c r="AF38" s="256"/>
      <c r="AG38" s="194"/>
    </row>
    <row r="39" spans="2:33" ht="13.5" thickBot="1">
      <c r="B39" s="192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260"/>
      <c r="T39" s="261"/>
      <c r="U39" s="262" t="s">
        <v>203</v>
      </c>
      <c r="V39" s="262"/>
      <c r="W39" s="262"/>
      <c r="X39" s="262"/>
      <c r="Y39" s="262"/>
      <c r="Z39" s="262"/>
      <c r="AA39" s="260"/>
      <c r="AB39" s="262"/>
      <c r="AC39" s="262"/>
      <c r="AD39" s="262"/>
      <c r="AE39" s="262"/>
      <c r="AF39" s="261"/>
      <c r="AG39" s="194"/>
    </row>
    <row r="40" spans="2:33" ht="13.5" thickBot="1"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9"/>
    </row>
  </sheetData>
  <mergeCells count="100">
    <mergeCell ref="AA37:AF37"/>
    <mergeCell ref="S38:T38"/>
    <mergeCell ref="AF27:AF28"/>
    <mergeCell ref="W30:W32"/>
    <mergeCell ref="X30:X32"/>
    <mergeCell ref="Y30:Y32"/>
    <mergeCell ref="Z30:Z32"/>
    <mergeCell ref="AA30:AA32"/>
    <mergeCell ref="AB30:AB32"/>
    <mergeCell ref="AD30:AD32"/>
    <mergeCell ref="AE30:AE32"/>
    <mergeCell ref="AF30:AF32"/>
    <mergeCell ref="AB27:AB28"/>
    <mergeCell ref="AD27:AD28"/>
    <mergeCell ref="AE27:AE28"/>
    <mergeCell ref="C34:R34"/>
    <mergeCell ref="S34:AF34"/>
    <mergeCell ref="W27:W28"/>
    <mergeCell ref="X27:X28"/>
    <mergeCell ref="Y27:Y28"/>
    <mergeCell ref="Z27:Z28"/>
    <mergeCell ref="AA27:AA28"/>
    <mergeCell ref="AD23:AD24"/>
    <mergeCell ref="AE23:AE24"/>
    <mergeCell ref="AF23:AF24"/>
    <mergeCell ref="W25:W26"/>
    <mergeCell ref="X25:X26"/>
    <mergeCell ref="Y25:Y26"/>
    <mergeCell ref="Z25:Z26"/>
    <mergeCell ref="AA25:AA26"/>
    <mergeCell ref="AB25:AB26"/>
    <mergeCell ref="AD25:AD26"/>
    <mergeCell ref="AE25:AE26"/>
    <mergeCell ref="AF25:AF26"/>
    <mergeCell ref="AC21:AC22"/>
    <mergeCell ref="AD21:AD22"/>
    <mergeCell ref="AE21:AE22"/>
    <mergeCell ref="AF21:AF22"/>
    <mergeCell ref="W23:W24"/>
    <mergeCell ref="X23:X24"/>
    <mergeCell ref="Y23:Y24"/>
    <mergeCell ref="Z23:Z24"/>
    <mergeCell ref="AA23:AA24"/>
    <mergeCell ref="AB23:AB24"/>
    <mergeCell ref="W21:W22"/>
    <mergeCell ref="X21:X22"/>
    <mergeCell ref="Y21:Y22"/>
    <mergeCell ref="Z21:Z22"/>
    <mergeCell ref="AA21:AA22"/>
    <mergeCell ref="AB21:AB22"/>
    <mergeCell ref="AE17:AE18"/>
    <mergeCell ref="AF17:AF18"/>
    <mergeCell ref="W19:W20"/>
    <mergeCell ref="X19:X20"/>
    <mergeCell ref="Y19:Y20"/>
    <mergeCell ref="Z19:Z20"/>
    <mergeCell ref="AA19:AA20"/>
    <mergeCell ref="AB19:AB20"/>
    <mergeCell ref="AD19:AD20"/>
    <mergeCell ref="AE19:AE20"/>
    <mergeCell ref="AF19:AF20"/>
    <mergeCell ref="Y17:Y18"/>
    <mergeCell ref="Z17:Z18"/>
    <mergeCell ref="AA17:AA18"/>
    <mergeCell ref="AB17:AB18"/>
    <mergeCell ref="AD17:AD18"/>
    <mergeCell ref="AB13:AB14"/>
    <mergeCell ref="AD13:AD14"/>
    <mergeCell ref="AE13:AE14"/>
    <mergeCell ref="AF13:AF14"/>
    <mergeCell ref="F15:F26"/>
    <mergeCell ref="W15:W16"/>
    <mergeCell ref="X15:X16"/>
    <mergeCell ref="Y15:Y16"/>
    <mergeCell ref="Z15:Z16"/>
    <mergeCell ref="AA15:AA16"/>
    <mergeCell ref="AB15:AB16"/>
    <mergeCell ref="AD15:AD16"/>
    <mergeCell ref="AE15:AE16"/>
    <mergeCell ref="AF15:AF16"/>
    <mergeCell ref="W17:W18"/>
    <mergeCell ref="X17:X18"/>
    <mergeCell ref="W13:W14"/>
    <mergeCell ref="X13:X14"/>
    <mergeCell ref="Y13:Y14"/>
    <mergeCell ref="Z13:Z14"/>
    <mergeCell ref="AA13:AA14"/>
    <mergeCell ref="C4:F4"/>
    <mergeCell ref="T4:AF4"/>
    <mergeCell ref="T5:AF5"/>
    <mergeCell ref="T6:AF6"/>
    <mergeCell ref="C9:C11"/>
    <mergeCell ref="D9:D11"/>
    <mergeCell ref="E9:E11"/>
    <mergeCell ref="G9:G11"/>
    <mergeCell ref="I9:L11"/>
    <mergeCell ref="N9:Q11"/>
    <mergeCell ref="R9:R11"/>
    <mergeCell ref="W9:AF9"/>
    <mergeCell ref="W10:AF10"/>
  </mergeCells>
  <pageMargins left="0.59055118110236227" right="0.39370078740157483" top="0.59055118110236227" bottom="0.39370078740157483" header="0" footer="0"/>
  <pageSetup paperSize="9" scale="86" fitToWidth="2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t1</vt:lpstr>
      <vt:lpstr>t2</vt:lpstr>
      <vt:lpstr>t3</vt:lpstr>
      <vt:lpstr>t5</vt:lpstr>
      <vt:lpstr>R</vt:lpstr>
      <vt:lpstr>G1</vt:lpstr>
      <vt:lpstr>G2</vt:lpstr>
      <vt:lpstr>P1</vt:lpstr>
      <vt:lpstr>P2</vt:lpstr>
      <vt:lpstr>c1</vt:lpstr>
      <vt:lpstr>c2</vt:lpstr>
      <vt:lpstr>c3</vt:lpstr>
      <vt:lpstr>c4</vt:lpstr>
      <vt:lpstr>b1</vt:lpstr>
      <vt:lpstr>b2</vt:lpstr>
      <vt:lpstr>b3</vt:lpstr>
      <vt:lpstr>'b1'!Área_de_impresión</vt:lpstr>
      <vt:lpstr>'b2'!Área_de_impresión</vt:lpstr>
      <vt:lpstr>'b3'!Área_de_impresión</vt:lpstr>
      <vt:lpstr>'c1'!Área_de_impresión</vt:lpstr>
      <vt:lpstr>'c2'!Área_de_impresión</vt:lpstr>
      <vt:lpstr>'c3'!Área_de_impresión</vt:lpstr>
      <vt:lpstr>'c4'!Área_de_impresión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Palma Palma</dc:creator>
  <cp:lastModifiedBy>user</cp:lastModifiedBy>
  <dcterms:created xsi:type="dcterms:W3CDTF">2016-11-30T16:05:27Z</dcterms:created>
  <dcterms:modified xsi:type="dcterms:W3CDTF">2017-01-10T10:35:55Z</dcterms:modified>
</cp:coreProperties>
</file>